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ía" sheetId="1" state="visible" r:id="rId3"/>
    <sheet name="Supuestos" sheetId="2" state="visible" r:id="rId4"/>
    <sheet name="Estacionalidad" sheetId="3" state="visible" r:id="rId5"/>
    <sheet name="Recursos" sheetId="4" state="visible" r:id="rId6"/>
    <sheet name="Gastos objeto" sheetId="5" state="visible" r:id="rId7"/>
    <sheet name="Flujo mensual" sheetId="6" state="visible" r:id="rId8"/>
    <sheet name="Gastos función" sheetId="7" state="visible" r:id="rId9"/>
    <sheet name="Vecinal" sheetId="8" state="visible" r:id="rId10"/>
    <sheet name="Programas" sheetId="9" state="visible" r:id="rId11"/>
    <sheet name="Deuda" sheetId="10" state="visible" r:id="rId12"/>
    <sheet name="Resumen anual" sheetId="11" state="visible" r:id="rId13"/>
    <sheet name="Escenarios" sheetId="12" state="visible" r:id="rId14"/>
    <sheet name="Metas" sheetId="13" state="visible" r:id="rId1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<sst xmlns="http://schemas.openxmlformats.org/spreadsheetml/2006/main" count="1718" uniqueCount="897">
  <si>
    <t xml:space="preserve">MODELO FISCAL · MUNICIPIO DE SAN ISIDRO</t>
  </si>
  <si>
    <t xml:space="preserve">Proyección mensual 2028–2035 · ocho ejercicios · los mismos números que el documento</t>
  </si>
  <si>
    <t xml:space="preserve">QUÉ ES</t>
  </si>
  <si>
    <t xml:space="preserve">La cuenta del Municipio mes a mes para los cuatro años del mandato (2028–2031) y los cuatro siguientes, con el programa del documento aplicado. Sumada por año, da lo mismo que el capítulo 3 del documento: el cuadro 20, el gráfico 13 y la sensibilidad del 3.2 y el 3.6.</t>
  </si>
  <si>
    <t xml:space="preserve">UNIDAD</t>
  </si>
  <si>
    <t xml:space="preserve">Pesos constantes de diciembre de 2025. Sin supuesto de inflación: todo crecimiento que aparece es real.</t>
  </si>
  <si>
    <t xml:space="preserve">AÑO BASE</t>
  </si>
  <si>
    <t xml:space="preserve">2025 es la ejecución real, no una estimación: los estados de ejecución de recursos y de gastos, acumulado anual, y el Estado de Situación Económico-Financiera 2025. Reproduce la cuenta oficial con diferencia cero: el control está al pie de la hoja Resumen anual.</t>
  </si>
  <si>
    <t xml:space="preserve">LA CUENTA</t>
  </si>
  <si>
    <t xml:space="preserve">Ingresos por lo percibido y gastos por lo devengado, como la cuenta Ahorro-Inversión oficial: 2025 cerró en −6.051 M. La amortización de la deuda y los activos financieros van debajo de la línea, igual que en la cuenta oficial.</t>
  </si>
  <si>
    <t xml:space="preserve">QUÉ CRECE</t>
  </si>
  <si>
    <t xml:space="preserve">Lo que recauda el Municipio crece 1,95% real por año. La coparticipación, el 82,4% de lo provincial, cae 2,196% por año; el resto de lo provincial, lo nacional y los recursos de capital quedan constantes. El gasto queda constante en términos reales —cero recomposición salarial y cero servicios nuevos—, salvo el programa.</t>
  </si>
  <si>
    <t xml:space="preserve">EL PROGRAMA</t>
  </si>
  <si>
    <t xml:space="preserve">Empleo y vivienda pasan de 505,7 M a 7.730,9 M en cuatro años desde 2028 (25%, 50%, 75% y 100% de lo que falta): 7.225,2 M más por año, 60% a empleo —gasto corriente— y 40% a vivienda —gasto de capital—. Los dos primeros años la formación usa toda la partida de empleo: dos ingresos por año y 1.286 egresados en el mandato.</t>
  </si>
  <si>
    <t xml:space="preserve">CÓMO SE PAGA</t>
  </si>
  <si>
    <t xml:space="preserve">Con la base de valuación actualizada, escenario B: la escala de ARBA 10,9% por encima de la neutral y un tope de 25% de suba por boleta y por año, cobrada como se cobra el ABL: 73,97%, el peor caso del rango de 74% a 82%. Cobra 1.637, 4.851 y 5.936 M los tres primeros años y 5.983 M desde el cuarto; entre 5.946 y 5.983 M según cuántas subas frene el mínimo. Lo que falta cada año sale del gasto flexible: 170 M el año 1 y 1.242 M desde el cuarto, el 1,4%. La cobranza no paga el programa.</t>
  </si>
  <si>
    <t xml:space="preserve">LO QUE SE REASIGNA</t>
  </si>
  <si>
    <t xml:space="preserve">Ambiente, educación, apoyo escolar y los datos y las grabaciones de las inspecciones —6.767 M en régimen—, la plataforma y el semillero —dentro de Ciencia y Técnica, 27,1%—, las pasantías de las áreas —2.135,3 M—, los cuidadores de Desarrollo Social —667,8 M—, la Escuela Náutica de Deportes —de a dos puestos por año, hasta 395 M por año desde el tercero y una inversión de hasta 717 M en tres años, de obras deportivas—, las clases de la costa —23,5 M por año, de Deportes—, los baños de la costa —hasta 354 M por año desde el tercero, dentro del aumento de Ambiente, con su obra y el equipamiento de las clases, hasta 1.245 M en tres años, de obras deportivas—, la beca de práctica y el módulo de salud de los años 1 y 2 —del gasto flexible libre— y el funcionamiento del sistema vecinal —1,5% de la partida— no cambian el gasto total: mueven lo que el Municipio ya gasta. Lo que pagan las empresas por los pasantes, 1.469,1 M, no es gasto municipal. Lo que se deje de cobrar en multas de tránsito, unos 323 M por año por cada 10% de rebaja media, sale del gasto flexible libre y no entra en el resultado.</t>
  </si>
  <si>
    <t xml:space="preserve">ESCENARIOS</t>
  </si>
  <si>
    <t xml:space="preserve">Dos: si nada cambia, y con el programa pagado con la tabla y lo que falta del gasto flexible. Más la sensibilidad del resultado de 2031 a lo que recauda el Municipio, a la coparticipación y a la percepción.</t>
  </si>
  <si>
    <t xml:space="preserve">EL BONO</t>
  </si>
  <si>
    <t xml:space="preserve">El bono de 30.000 M de agosto de 2026 entra en la deuda y en la caja, no en el resultado: su capital va debajo de la línea, en siete cuotas trimestrales entre 2028 y 2029, y su interés no se proyecta porque la tasa es nominal y variable. El documento lo trata igual (3.5 y 3.6).</t>
  </si>
  <si>
    <t xml:space="preserve">LO QUE AGREGA</t>
  </si>
  <si>
    <t xml:space="preserve">El mes a mes: estacionalidad, rezago de pago y la deuda flotante que genera, retenciones de terceros, fondos de libre disponibilidad y afectados, caja y alerta de mínimo. Son supuestos de este libro: no cambian ningún número anual de la cuenta.</t>
  </si>
  <si>
    <t xml:space="preserve">COLORES</t>
  </si>
  <si>
    <t xml:space="preserve">Azul: dato de entrada o palanca. Las únicas celdas editables.</t>
  </si>
  <si>
    <t xml:space="preserve">Negro: fórmula dentro de la misma hoja.</t>
  </si>
  <si>
    <t xml:space="preserve">Verde: vínculo a otra hoja.</t>
  </si>
  <si>
    <t xml:space="preserve">Fondo amarillo: palanca clave.</t>
  </si>
  <si>
    <t xml:space="preserve">HOJAS</t>
  </si>
  <si>
    <t xml:space="preserve">Supuestos</t>
  </si>
  <si>
    <t xml:space="preserve">Todos los parámetros, con fuente y nota. Única hoja donde se escribe.</t>
  </si>
  <si>
    <t xml:space="preserve">Estacionalidad</t>
  </si>
  <si>
    <t xml:space="preserve">Perfil mensual de cada origen de recursos y de cada objeto del gasto. Cada fila suma 100%.</t>
  </si>
  <si>
    <t xml:space="preserve">Recursos</t>
  </si>
  <si>
    <t xml:space="preserve">96 meses por origen, percibidos, con lo que cobra la base de valuación y lo facturado y no cobrado.</t>
  </si>
  <si>
    <t xml:space="preserve">Gastos objeto</t>
  </si>
  <si>
    <t xml:space="preserve">96 meses por objeto del gasto, devengado y pagado con rezago.</t>
  </si>
  <si>
    <t xml:space="preserve">Gastos función</t>
  </si>
  <si>
    <t xml:space="preserve">Los mismos gastos por finalidad y función, cada reasignación en su función de destino.</t>
  </si>
  <si>
    <t xml:space="preserve">Flujo mensual</t>
  </si>
  <si>
    <t xml:space="preserve">Caja mes a mes: origen y afectación, retenciones, deuda y alerta de mínimo.</t>
  </si>
  <si>
    <t xml:space="preserve">Vecinal</t>
  </si>
  <si>
    <t xml:space="preserve">La rampa del 12,5% al 50%, el reparto entre las seis zonas y el 1,5% del funcionamiento.</t>
  </si>
  <si>
    <t xml:space="preserve">Programas</t>
  </si>
  <si>
    <t xml:space="preserve">Los programas del capítulo 5, empleo y vivienda abiertos, y la formación: ingresos, pasantes y egresados.</t>
  </si>
  <si>
    <t xml:space="preserve">Deuda</t>
  </si>
  <si>
    <t xml:space="preserve">La deuda al 31/12/2025, que llega a cero en 2029; el bono 2026; la flotante del rezago; el margen contra el tope de la Constitución provincial.</t>
  </si>
  <si>
    <t xml:space="preserve">Resumen anual</t>
  </si>
  <si>
    <t xml:space="preserve">Los ocho ejercicios en la cuenta Ahorro-Inversión, con los dos controles: el año base y el cuadro 20 del documento.</t>
  </si>
  <si>
    <t xml:space="preserve">Escenarios</t>
  </si>
  <si>
    <t xml:space="preserve">Si nada cambia y con el programa, año por año (cuadro 20), y la sensibilidad de 2031.</t>
  </si>
  <si>
    <t xml:space="preserve">Metas</t>
  </si>
  <si>
    <t xml:space="preserve">Las veinte metas del 6.3, con lo que proyecta el modelo donde lo hay.</t>
  </si>
  <si>
    <t xml:space="preserve">Este modelo proyecta el marco fiscal, no el resultado de las políticas. Tener fondos para una obra no significa que la obra se haga bien ni a tiempo.</t>
  </si>
  <si>
    <t xml:space="preserve">SUPUESTOS DEL MODELO</t>
  </si>
  <si>
    <t xml:space="preserve">Pesos constantes de diciembre de 2025. Las celdas azules son las únicas editables.</t>
  </si>
  <si>
    <t xml:space="preserve">A · RECURSOS 2025 POR RUBRO RAFAM · DEVENGADO Y PERCIBIDO (ejecución real)</t>
  </si>
  <si>
    <t xml:space="preserve">Ingresos tributarios · devengado</t>
  </si>
  <si>
    <t xml:space="preserve">Rubro 1.1. De origen provincial: casi todo es la coparticipación, 82.268 M en 2025. Estado de ejecución de recursos 2025, acumulado anual</t>
  </si>
  <si>
    <t xml:space="preserve">Ingresos tributarios · percibido</t>
  </si>
  <si>
    <t xml:space="preserve">Rubro 1.1. Se percibió el 100% de lo devengado</t>
  </si>
  <si>
    <t xml:space="preserve">Ingresos no tributarios · devengado</t>
  </si>
  <si>
    <t xml:space="preserve">Rubro 1.2. Tasas y derechos municipales: servicios generales, seguridad e higiene y el resto. Estado de ejecución de recursos 2025, acumulado anual</t>
  </si>
  <si>
    <t xml:space="preserve">Ingresos no tributarios · percibido</t>
  </si>
  <si>
    <t xml:space="preserve">Rubro 1.2. Quedaron sin cobrar 35.994 millones: el 15,6% de lo devengado</t>
  </si>
  <si>
    <t xml:space="preserve">Rentas de la propiedad</t>
  </si>
  <si>
    <t xml:space="preserve">Rubro 1.6. Intereses de colocaciones y alquileres. De origen municipal</t>
  </si>
  <si>
    <t xml:space="preserve">Transferencias corrientes</t>
  </si>
  <si>
    <t xml:space="preserve">Rubro 1.7. De Provincia, de Nación y de otros orígenes, fuera de la coparticipación</t>
  </si>
  <si>
    <t xml:space="preserve">Recursos propios de capital</t>
  </si>
  <si>
    <t xml:space="preserve">Rubro 2.1. Venta de activos. De origen municipal</t>
  </si>
  <si>
    <t xml:space="preserve">B · GASTOS 2025 POR OBJETO · DEVENGADO Y PAGADO (ejecución real)</t>
  </si>
  <si>
    <t xml:space="preserve">Gastos en personal · devengado</t>
  </si>
  <si>
    <t xml:space="preserve">Objeto 1. El 34,4% del gasto total: el vigésimo municipio con menor peso salarial de 106. Estado de ejecución de gastos por objeto 2025, acumulado anual</t>
  </si>
  <si>
    <t xml:space="preserve">Gastos en personal · pagado</t>
  </si>
  <si>
    <t xml:space="preserve">Pagado 2025. La diferencia con el devengado alimenta la deuda flotante</t>
  </si>
  <si>
    <t xml:space="preserve">Bienes de consumo · devengado</t>
  </si>
  <si>
    <t xml:space="preserve">Objeto 2. Insumos, incluidos los de los tres hospitales</t>
  </si>
  <si>
    <t xml:space="preserve">Bienes de consumo · pagado</t>
  </si>
  <si>
    <t xml:space="preserve">Servicios no personales · devengado</t>
  </si>
  <si>
    <t xml:space="preserve">Objeto 3. Contratos: recolección, seguridad, mantenimiento</t>
  </si>
  <si>
    <t xml:space="preserve">Servicios no personales · pagado</t>
  </si>
  <si>
    <t xml:space="preserve">Bienes de uso · devengado</t>
  </si>
  <si>
    <t xml:space="preserve">Objeto 4. La obra pública. El 17,8% del gasto: cuarto de 106 municipios</t>
  </si>
  <si>
    <t xml:space="preserve">Bienes de uso · pagado</t>
  </si>
  <si>
    <t xml:space="preserve">Transferencias · devengado</t>
  </si>
  <si>
    <t xml:space="preserve">Objeto 5. Subsidios y aportes a terceros. Incluye 16,5 M de transferencias de capital (bloque M)</t>
  </si>
  <si>
    <t xml:space="preserve">Transferencias · pagado</t>
  </si>
  <si>
    <t xml:space="preserve">Activos financieros · devengado</t>
  </si>
  <si>
    <t xml:space="preserve">Objeto 6. En la cuenta Ahorro-Inversión va debajo de la línea: es una aplicación financiera</t>
  </si>
  <si>
    <t xml:space="preserve">Activos financieros · pagado</t>
  </si>
  <si>
    <t xml:space="preserve">Servicio de la deuda · devengado</t>
  </si>
  <si>
    <t xml:space="preserve">Objeto 7. En la cuenta Ahorro-Inversión va debajo de la línea: es amortización de deuda</t>
  </si>
  <si>
    <t xml:space="preserve">Servicio de la deuda · pagado</t>
  </si>
  <si>
    <t xml:space="preserve">C · PARÁMETROS DE PROYECCIÓN</t>
  </si>
  <si>
    <t xml:space="preserve">Crecimiento real anual de recursos propios</t>
  </si>
  <si>
    <t xml:space="preserve">Recursos de origen municipal en pesos constantes, 2010–2025, punta a punta. La media de los seis tramos da 3,49% con desvío de 8,14 puntos</t>
  </si>
  <si>
    <t xml:space="preserve">Caída real anual de la coparticipación</t>
  </si>
  <si>
    <t xml:space="preserve">Parte de San Isidro en lo que la Provincia reparte a los 135 municipios, 2021–2025: de 1,9378% a 1,7731%. Mueve el 82,4% de lo provincial (bloque L)</t>
  </si>
  <si>
    <t xml:space="preserve">Percepción de los recursos corrientes · 2025</t>
  </si>
  <si>
    <t xml:space="preserve">301.155 percibidos sobre 337.149 facturados en 2025. El documento usa la cifra redondeada: 89,32% (3.2)</t>
  </si>
  <si>
    <t xml:space="preserve">Percepción · palanca de la sensibilidad</t>
  </si>
  <si>
    <t xml:space="preserve">En 89,32% no cambia nada. La sensibilidad del 3.6 la mueve tres puntos, a 86,32% y 92,32%, y el cambio entra en cuatro años desde 2025. El programa no se paga cobrando mejor</t>
  </si>
  <si>
    <t xml:space="preserve">Crecimiento real del gasto en personal</t>
  </si>
  <si>
    <t xml:space="preserve">Supuesto conservador: cero recomposición salarial real</t>
  </si>
  <si>
    <t xml:space="preserve">Crecimiento real del resto del gasto corriente</t>
  </si>
  <si>
    <t xml:space="preserve">Supuesto conservador: cero servicios nuevos, salvo el programa</t>
  </si>
  <si>
    <t xml:space="preserve">Rezago de pago · bienes y servicios (meses)</t>
  </si>
  <si>
    <t xml:space="preserve">Diferencia observada entre devengado y pagado 2025, expresada en meses</t>
  </si>
  <si>
    <t xml:space="preserve">Rezago de pago · obra pública (meses)</t>
  </si>
  <si>
    <t xml:space="preserve">La certificación de obra se paga con más demora que una factura corriente</t>
  </si>
  <si>
    <t xml:space="preserve">Saldo de caja mínimo · meses de gasto</t>
  </si>
  <si>
    <t xml:space="preserve">Convención prudencial: medio mes de gasto total como piso operativo</t>
  </si>
  <si>
    <t xml:space="preserve">D · LA PARTIDA VECINAL</t>
  </si>
  <si>
    <t xml:space="preserve">Año 1 · % de la obra a comisiones vecinales</t>
  </si>
  <si>
    <t xml:space="preserve">Rampa del capítulo 4. Al año 4 son 28.908 millones: el 8,9% del gasto devengado de 2025</t>
  </si>
  <si>
    <t xml:space="preserve">Año 2 · %</t>
  </si>
  <si>
    <t xml:space="preserve">Año 3 · %</t>
  </si>
  <si>
    <t xml:space="preserve">Año 4 · %</t>
  </si>
  <si>
    <t xml:space="preserve">Años 5 a 8 · %</t>
  </si>
  <si>
    <t xml:space="preserve">E · PROGRAMAS DEL CAPÍTULO 5</t>
  </si>
  <si>
    <t xml:space="preserve">Empleo y vivienda · base 2025</t>
  </si>
  <si>
    <t xml:space="preserve">170,3 M de empleo más 335,4 M de vivienda, devengado 2025</t>
  </si>
  <si>
    <t xml:space="preserve">Empleo y vivienda · objetivo anual</t>
  </si>
  <si>
    <t xml:space="preserve">2,5% del gasto total de 2025 en la cuenta Ahorro-Inversión: 7.730,9 M, quince veces la base (cuadro 34)</t>
  </si>
  <si>
    <t xml:space="preserve">Ambiente · gasto 2025 (función 4.4)</t>
  </si>
  <si>
    <t xml:space="preserve">5.5: «Hoy: 1.410 millones, el 0,4% del presupuesto». La ejecución da 1.410,1 M (bloque S)</t>
  </si>
  <si>
    <t xml:space="preserve">Ambiente · objetivo, sobre el gasto devengado de 2025</t>
  </si>
  <si>
    <t xml:space="preserve">Meta del 6.3. 1,5% de 324.304 M menos 1.410 M: 3.455 M por año (cuadro 14). Empieza a moverse en el mes 12 y llega en el mes 36 (6.4); el año 1 adelanta lo de la costa (fila 238)</t>
  </si>
  <si>
    <t xml:space="preserve">Educación · recomposición anual</t>
  </si>
  <si>
    <t xml:space="preserve">Devolver la función educativa al nivel real de 2024, que cayó 11,6%: 2.064 M (5.8, cuadro 14). Desde el mes 12 (6.4)</t>
  </si>
  <si>
    <t xml:space="preserve">Inspecciones grabadas · soportes, baterías y dos bases de descarga, una vez (primera etapa)</t>
  </si>
  <si>
    <t xml:space="preserve">Cálculo propio (5.9): de 20,5 a 27,5 M para la primera etapa completa, 208 a 280 agentes (inspectores de comercio y de la Agencia de Control, los de Habilitaciones y de Obras Particulares que salen a inspeccionar, y agentes de tránsito), más 9,5 M por cada base de descarga (tránsito tiene 2); se toma el tope: 27,5 + 19. El teléfono es propio: se compra en 24 cuotas sin interés todo el año por convenio con el banco que paga los sueldos, sin dinero del Municipio. La patrulla, en la segunda etapa (29,5 a 35,3 M una vez y 135,7 a 162,4 M por año), no está sumada</t>
  </si>
  <si>
    <t xml:space="preserve">Apoyo escolar · costo anual por sede</t>
  </si>
  <si>
    <t xml:space="preserve">ESTIMACIÓN PROPIA, NO VERIFICADA. Seis sedes: 1.080 M (cuadro 14). Dos sedes por año es supuesto de este libro</t>
  </si>
  <si>
    <t xml:space="preserve">Salud · adhesión al sistema provincial</t>
  </si>
  <si>
    <t xml:space="preserve">Mi Salud Digital no tiene costo de licencia para el municipio que adhiere</t>
  </si>
  <si>
    <t xml:space="preserve">Inspecciones grabadas · plan de datos, guarda de dos años, reposición y difuminado a pedido, por año (primera etapa)</t>
  </si>
  <si>
    <t xml:space="preserve">Cálculo propio con el convenio de telefonía de la Ciudad de Buenos Aires y los precios oficiales de la nube (5.9): de 107,6 a 145,5 M por año en régimen para la primera etapa completa, y de 5 a 23 M por año para difuminar las caras cuando alguien pide ver una inspección, con revisión de una persona (unos $2.200 por pedido, de 1.000 a 10.000 pedidos); se toman los topes: 145,5 + 23. Las grabaciones se guardan dos años en una nube con servidores en Bélgica y se ven al instante todo ese tiempo. Salen los 264 M de mantenimiento de antes (el 22% de una lista de precios)</t>
  </si>
  <si>
    <t xml:space="preserve">F · DEUDA Y LÍMITES LEGALES</t>
  </si>
  <si>
    <t xml:space="preserve">Deuda al 31/12/2025, consolidada y flotante</t>
  </si>
  <si>
    <t xml:space="preserve">Formulario Ley 12.462, cuarto trimestre de 2025: 4.984 M consolidada y 3.976 M flotante (cuadro 18). Es la deuda con la que empiezan las cuentas de este libro y del documento</t>
  </si>
  <si>
    <t xml:space="preserve">Deuda flotante al 30/06/2026 · no entra en el modelo</t>
  </si>
  <si>
    <t xml:space="preserve">Informe del segundo trimestre de 2026 (cuadro 18). Es posterior al cierre del modelo y el documento no la incorpora: la flotante al 31/12/2025 ya está en la fila anterior</t>
  </si>
  <si>
    <t xml:space="preserve">Amortización del ejercicio 1 (2026)</t>
  </si>
  <si>
    <t xml:space="preserve">Formulario Ley 12.462. El resto de la deuda se paga en partes iguales en 2027, 2028 y 2029: llega a cero en 2029 (3.5)</t>
  </si>
  <si>
    <t xml:space="preserve">Tope de servicio sobre recursos corrientes</t>
  </si>
  <si>
    <t xml:space="preserve">Constitución provincial, artículo 193, inciso 3: los servicios de amortización e intereses no pueden pasar del 25% de los recursos ordinarios</t>
  </si>
  <si>
    <t xml:space="preserve">Adhesión vecinal exigida</t>
  </si>
  <si>
    <t xml:space="preserve">Artículo 132 de la Ley Orgánica de las Municipalidades: 60% de los beneficiarios por escrito</t>
  </si>
  <si>
    <t xml:space="preserve">Años para pagar el resto de la deuda (desde 2027)</t>
  </si>
  <si>
    <t xml:space="preserve">Supuesto de este libro y del documento: el formulario sólo publica el vencimiento del ejercicio 1</t>
  </si>
  <si>
    <t xml:space="preserve">Las líneas marcadas ESTIMACIÓN PROPIA, NO VERIFICADA no provienen de una fuente oficial. Son del equipo de este programa y deben licitarse o presupuestarse antes de comprometerse.</t>
  </si>
  <si>
    <t xml:space="preserve">NOTA SOBRE LA RECONSTRUCCIÓN DEL AÑO BASE</t>
  </si>
  <si>
    <t xml:space="preserve">El año base es la ejecución 2025 oficial. Los recursos van por lo percibido y los gastos por lo devengado, como en la cuenta Ahorro-Inversión del Estado de Situación Económico-Financiera: resultado de −6.051 millones. La deuda y los activos financieros van debajo de la línea. El control está al pie de la hoja Resumen anual y da diferencia cero.</t>
  </si>
  <si>
    <t xml:space="preserve">Los recursos del año 1 arrancan por encima de 2025 porque entre 2025 y 2028 pasan tres años de crecimiento real. El gasto queda constante en términos reales, salvo lo que suma el programa.</t>
  </si>
  <si>
    <t xml:space="preserve">Los dos primeros meses del modelo se pagan sin rezago: no hay historia previa y aplicarlo inventaría deuda flotante inexistente.</t>
  </si>
  <si>
    <t xml:space="preserve">G · AFECTACIÓN DE LOS RECURSOS (códigos de origen y procedencia RAFAM)</t>
  </si>
  <si>
    <t xml:space="preserve">Origen municipal · % de libre disponibilidad</t>
  </si>
  <si>
    <t xml:space="preserve">Estado de Situación Económico-Financiera 2025: 207.565 M de libre disponibilidad sobre 207.969 M de origen municipal</t>
  </si>
  <si>
    <t xml:space="preserve">Origen provincial · % de libre disponibilidad</t>
  </si>
  <si>
    <t xml:space="preserve">Estado de Situación Económico-Financiera 2025: 79.683 M de libre disponibilidad sobre 87.694 M de origen provincial</t>
  </si>
  <si>
    <t xml:space="preserve">Origen nacional · % de libre disponibilidad</t>
  </si>
  <si>
    <t xml:space="preserve">Los 190 M de origen nacional llegan afectados. Los otros orígenes, 7.332 M, son de libre disponibilidad</t>
  </si>
  <si>
    <t xml:space="preserve">Saldo inicial · cuenta de libre disponibilidad</t>
  </si>
  <si>
    <t xml:space="preserve">ESTIMACIÓN. El Municipio no publica la composición de sus disponibilidades al cierre; debe reemplazarse por el saldo real al asumir</t>
  </si>
  <si>
    <t xml:space="preserve">Saldo inicial · cuenta 111220000 de afectados</t>
  </si>
  <si>
    <t xml:space="preserve">ESTIMACIÓN. Ídem anterior. Los fondos con afectación específica van en cuenta separada y no pueden usarse para otro destino</t>
  </si>
  <si>
    <t xml:space="preserve">H · RETENCIONES Y FONDOS DE TERCEROS</t>
  </si>
  <si>
    <t xml:space="preserve">Retenciones sobre sueldos · % de la masa salarial</t>
  </si>
  <si>
    <t xml:space="preserve">IPS, IOMA, sindicatos, seguros y embargos. Se retienen al liquidar y se depositan al mes siguiente</t>
  </si>
  <si>
    <t xml:space="preserve">Retenciones a proveedores · % de pagos de bienes y servicios</t>
  </si>
  <si>
    <t xml:space="preserve">Ingresos Brutos, SUSS y ganancias. Se retienen al pagar y se depositan al mes siguiente</t>
  </si>
  <si>
    <t xml:space="preserve">Garantías y depósitos en garantía · % de la obra</t>
  </si>
  <si>
    <t xml:space="preserve">Fondo de reparo de obra pública: se retiene del certificado y se devuelve a la recepción definitiva</t>
  </si>
  <si>
    <t xml:space="preserve">Rezago de depósito de retenciones (meses)</t>
  </si>
  <si>
    <t xml:space="preserve">Las retenciones del mes se depositan al mes siguiente. Es financiamiento gratuito de corto plazo, y por eso hay que verlo</t>
  </si>
  <si>
    <t xml:space="preserve">I · LA DEUDA AL 31/12/2025, ABIERTA (formulario Ley 12.462)</t>
  </si>
  <si>
    <t xml:space="preserve">Deuda consolidada</t>
  </si>
  <si>
    <t xml:space="preserve">Organismos provinciales 2.923 M —IPS 2.100 e IOMA 823—, CEAMSE 465 M y otras deudas 1.596 M</t>
  </si>
  <si>
    <t xml:space="preserve">Deuda flotante</t>
  </si>
  <si>
    <t xml:space="preserve">Obligaciones de corto plazo. Entra en la deuda de la fila 59 y se paga con ella</t>
  </si>
  <si>
    <t xml:space="preserve">Préstamo del Banco Provincia · no entra en el modelo</t>
  </si>
  <si>
    <t xml:space="preserve">Aparece por primera vez en el informe de junio de 2026 (3.5): es posterior al cierre del modelo</t>
  </si>
  <si>
    <t xml:space="preserve">Tasa de interés real anual de la deuda</t>
  </si>
  <si>
    <t xml:space="preserve">El modelo no proyecta intereses: está en pesos constantes y el del bono es nominal y variable (3.6)</t>
  </si>
  <si>
    <t xml:space="preserve">Control · consolidada más flotante menos la deuda del bloque F</t>
  </si>
  <si>
    <t xml:space="preserve">Tiene que dar cero</t>
  </si>
  <si>
    <t xml:space="preserve">J · OTROS MOVIMIENTOS FINANCIEROS</t>
  </si>
  <si>
    <t xml:space="preserve">Rendimiento real anual de las colocaciones</t>
  </si>
  <si>
    <t xml:space="preserve">Interés sobre los saldos ociosos de tesorería. El RAFAM autoriza invertir excedentes transitorios</t>
  </si>
  <si>
    <t xml:space="preserve">Cheques diferidos · % de pagos de bienes y servicios</t>
  </si>
  <si>
    <t xml:space="preserve">Palanca. En cero el Municipio no usa cheques diferidos; subirlo muestra cuánta caja libera y a costa de qué</t>
  </si>
  <si>
    <t xml:space="preserve">Plazo del cheque diferido (meses)</t>
  </si>
  <si>
    <t xml:space="preserve">Plazo habitual de un cheque de pago diferido municipal</t>
  </si>
  <si>
    <t xml:space="preserve">K · BONO DE INFRAESTRUCTURA 2026</t>
  </si>
  <si>
    <t xml:space="preserve">Bono · capital colocado</t>
  </si>
  <si>
    <t xml:space="preserve">Colocado el 13/08/2026. Ofertas por 38.576 M, 1,29 veces el monto. Autorizado por Nación, Provincia y Concejo</t>
  </si>
  <si>
    <t xml:space="preserve">Bono · tasa nominal anual al momento</t>
  </si>
  <si>
    <t xml:space="preserve">TAMAR más 7%. Es tasa variable: este valor es el vigente a la colocación, no una proyección</t>
  </si>
  <si>
    <t xml:space="preserve">Bono · cuotas de capital</t>
  </si>
  <si>
    <t xml:space="preserve">Ocho cuotas trimestrales del 12,5%, amortización alemana</t>
  </si>
  <si>
    <t xml:space="preserve">Bono · primera cuota, mes desde la emisión</t>
  </si>
  <si>
    <t xml:space="preserve">Mes 15 contado desde agosto de 2026: noviembre de 2027</t>
  </si>
  <si>
    <t xml:space="preserve">Bono · capital pendiente al 1/1/2028</t>
  </si>
  <si>
    <t xml:space="preserve">Quedan siete de las ocho cuotas: el 87,5% del capital lo paga el mandato que arranca en 2028. Van en febrero, mayo, agosto y noviembre de 2028 y en febrero, mayo y agosto de 2029</t>
  </si>
  <si>
    <t xml:space="preserve">L · RECURSOS 2025 POR ORIGEN (Estado de Situación Económico-Financiera 2025, percibido)</t>
  </si>
  <si>
    <t xml:space="preserve">Origen municipal · de libre disponibilidad</t>
  </si>
  <si>
    <t xml:space="preserve">Son exactamente los no tributarios, las rentas y los recursos de capital del bloque A</t>
  </si>
  <si>
    <t xml:space="preserve">Origen municipal · afectados</t>
  </si>
  <si>
    <t xml:space="preserve">Origen provincial · de libre disponibilidad</t>
  </si>
  <si>
    <t xml:space="preserve">Los tributarios del bloque A más 2.314 M de las transferencias</t>
  </si>
  <si>
    <t xml:space="preserve">Origen provincial · afectados</t>
  </si>
  <si>
    <t xml:space="preserve">Origen nacional · afectados</t>
  </si>
  <si>
    <t xml:space="preserve">Otros orígenes · de libre disponibilidad</t>
  </si>
  <si>
    <t xml:space="preserve">Control: lo municipal por origen menos no tributarios, rentas y recursos de capital</t>
  </si>
  <si>
    <t xml:space="preserve">Tiene que dar cero: los recursos de capital (rubro 2.1) son todos de origen municipal</t>
  </si>
  <si>
    <t xml:space="preserve">Origen municipal · corrientes, como en el modelo</t>
  </si>
  <si>
    <t xml:space="preserve">Los recursos de capital se restan enteros de lo municipal, como en las cuentas del documento</t>
  </si>
  <si>
    <t xml:space="preserve">Origen provincial · corrientes</t>
  </si>
  <si>
    <t xml:space="preserve">Origen nacional · corrientes</t>
  </si>
  <si>
    <t xml:space="preserve">Otros orígenes · corrientes</t>
  </si>
  <si>
    <t xml:space="preserve">Parte de lo provincial que se mueve con la coparticipación</t>
  </si>
  <si>
    <t xml:space="preserve">Cálculo propio con la ejecución de recursos de 2025. El resto son fondos específicos que no dependen del coeficiente</t>
  </si>
  <si>
    <t xml:space="preserve">M · CUENTA AHORRO-INVERSIÓN 2025, OFICIAL (Estado de Situación Económico-Financiera)</t>
  </si>
  <si>
    <t xml:space="preserve">I · Ingresos corrientes</t>
  </si>
  <si>
    <t xml:space="preserve">Percibido</t>
  </si>
  <si>
    <t xml:space="preserve">IV · Recursos de capital</t>
  </si>
  <si>
    <t xml:space="preserve">II · Gastos corrientes</t>
  </si>
  <si>
    <t xml:space="preserve">Devengado</t>
  </si>
  <si>
    <t xml:space="preserve">V · Gastos de capital</t>
  </si>
  <si>
    <t xml:space="preserve">VIII · Resultado financiero</t>
  </si>
  <si>
    <t xml:space="preserve">El −6.051 del capítulo 3</t>
  </si>
  <si>
    <t xml:space="preserve">Transferencias de capital, dentro del objeto 5</t>
  </si>
  <si>
    <t xml:space="preserve">Lo que el gasto de capital oficial tiene por encima de la obra pública</t>
  </si>
  <si>
    <t xml:space="preserve">Gasto devengado total 2025</t>
  </si>
  <si>
    <t xml:space="preserve">Los 324.304 M del documento: todos los objetos, con la deuda</t>
  </si>
  <si>
    <t xml:space="preserve">Gasto flexible 2025</t>
  </si>
  <si>
    <t xml:space="preserve">Bienes de consumo, bienes de uso, transferencias y activos financieros: lo único que se puede reasignar dentro del año (3.4)</t>
  </si>
  <si>
    <t xml:space="preserve">N · BASE DE VALUACIÓN ACTUALIZADA (escenario B, 3.5)</t>
  </si>
  <si>
    <t xml:space="preserve">Suba pareja de la escala de ARBA sobre la neutral</t>
  </si>
  <si>
    <t xml:space="preserve">Se fija para que la parte tierra emita 8.089 M más por año: un 10,9% más que hoy. La alícuota no se toca</t>
  </si>
  <si>
    <t xml:space="preserve">Tope de suba por boleta y por año</t>
  </si>
  <si>
    <t xml:space="preserve">Por eso la actualización se completa en cuatro ejercicios. Las bajas van desde el primero</t>
  </si>
  <si>
    <t xml:space="preserve">Emisión extra de la parte tierra, en régimen</t>
  </si>
  <si>
    <t xml:space="preserve">Año 1 del programa (2028) · lo cobrado</t>
  </si>
  <si>
    <t xml:space="preserve">Lo cobrado como se cobra el ABL: 73,97%, el peor caso (fila 252). Cálculo propio sobre las parcelas de ARBA (3.5)</t>
  </si>
  <si>
    <t xml:space="preserve">Año 2 (2029) · lo cobrado</t>
  </si>
  <si>
    <t xml:space="preserve">Año 3 (2030) · lo cobrado</t>
  </si>
  <si>
    <t xml:space="preserve">Año 4 en adelante (2031–2035) · lo cobrado</t>
  </si>
  <si>
    <t xml:space="preserve">Si el mínimo frena subas · año 1 del programa (2028)</t>
  </si>
  <si>
    <t xml:space="preserve">Si el mínimo de la tasa frena todas las subas de lotes chicos: hasta 37 M menos por año (3.5)</t>
  </si>
  <si>
    <t xml:space="preserve">Si el mínimo frena subas · año 2 (2029)</t>
  </si>
  <si>
    <t xml:space="preserve">Si el mínimo frena subas · año 3 (2030)</t>
  </si>
  <si>
    <t xml:space="preserve">Si el mínimo frena subas · año 4 en adelante (2031–2035)</t>
  </si>
  <si>
    <t xml:space="preserve">¿El mínimo frena las subas de lotes chicos? 1 = sí, 0 = no</t>
  </si>
  <si>
    <t xml:space="preserve">El documento usa el 0. Con 1, lo cobrado en régimen es 5.946,4 M: el rango del 3.5 es 5.946 a 5.983 M</t>
  </si>
  <si>
    <t xml:space="preserve">Lo que el programa necesita en régimen</t>
  </si>
  <si>
    <t xml:space="preserve">Los 7.225,2 M que el programa suma por año: 5.983 de la tabla y 1.242 del gasto flexible (fila 256)</t>
  </si>
  <si>
    <t xml:space="preserve">Lo cobrado en régimen, con el mínimo que frena subas, sobre lo que se necesita</t>
  </si>
  <si>
    <t xml:space="preserve">El 82,3%: el resto sale del gasto flexible (3.5)</t>
  </si>
  <si>
    <t xml:space="preserve">O · EMPLEO Y VIVIENDA Y LA FORMACIÓN (5.3, cuadro 34)</t>
  </si>
  <si>
    <t xml:space="preserve">Empleo · devengado 2025 (Apoyo y Promoción al Empleo)</t>
  </si>
  <si>
    <t xml:space="preserve">Vivienda · devengado 2025 (Infraestructura Habitacional)</t>
  </si>
  <si>
    <t xml:space="preserve">Objetivo: parte del gasto total de 2025</t>
  </si>
  <si>
    <t xml:space="preserve">La rampa lo alcanza en cuatro años: 25%, 50%, 75% y 100% de lo que falta, desde 2028</t>
  </si>
  <si>
    <t xml:space="preserve">Parte de empleo; el resto es vivienda y servicios básicos</t>
  </si>
  <si>
    <t xml:space="preserve">Empleo es gasto corriente y vivienda, gasto de capital</t>
  </si>
  <si>
    <t xml:space="preserve">Parte de formación dentro de empleo, desde el año 3</t>
  </si>
  <si>
    <t xml:space="preserve">El resto paga la contratación de desarrollos: salud y automatización de tareas de la planta</t>
  </si>
  <si>
    <t xml:space="preserve">Años en que la formación usa toda la partida de empleo</t>
  </si>
  <si>
    <t xml:space="preserve">Todavía no hay egresados que contratar: entran 462 y 824 en vez de 277 y 494 (notas del capítulo 5)</t>
  </si>
  <si>
    <t xml:space="preserve">Costo por persona, los dos años de formación</t>
  </si>
  <si>
    <t xml:space="preserve">Con las materias y el título de la UNSO. Cada año entran lo que paga formación dividido por esto, redondeado</t>
  </si>
  <si>
    <t xml:space="preserve">Mes del primer ingreso de cada año</t>
  </si>
  <si>
    <t xml:space="preserve">La primera cohorte arranca a los cien días</t>
  </si>
  <si>
    <t xml:space="preserve">Mes del segundo ingreso de cada año</t>
  </si>
  <si>
    <t xml:space="preserve">Meses desde el ingreso hasta el egreso</t>
  </si>
  <si>
    <t xml:space="preserve">Doce de cursada y doce de pasantía: seis en el Municipio y seis en una empresa de San Isidro</t>
  </si>
  <si>
    <t xml:space="preserve">Tope de pasantes a la vez en el Municipio: 7% de los cargos</t>
  </si>
  <si>
    <t xml:space="preserve">7% de los 7.946 cargos del presupuesto 2026 (Res. Conj. 825/2009 y 338/2009, art. 14)</t>
  </si>
  <si>
    <t xml:space="preserve">P · CIENCIA Y TÉCNICA: PLATAFORMA, DISPOSITIVOS Y SEMILLERO (4.11 y 5.3)</t>
  </si>
  <si>
    <t xml:space="preserve">Ciencia y Técnica · devengado 2025</t>
  </si>
  <si>
    <t xml:space="preserve">Función 3.5 (bloque S): los 8.155 M del documento</t>
  </si>
  <si>
    <t xml:space="preserve">Plataforma: 59 personas con cargas, infraestructura y licencias, y auditoría</t>
  </si>
  <si>
    <t xml:space="preserve">Cuadro 27, suma exacta de sus filas: equipo 1.621,8 M (las 49 personas de antes y 10 nuevas: profesor digital, escucha y seguimiento, prueba sellada, aviso de multas y puente con los laboratorios); infraestructura y licencias 243,5 M (cálculo propio con el dólar de diciembre de 2025, $1.447,84, y sin WhatsApp: lo que usan los vecinos, 78,3 M; con las herramientas del equipo, las 160 asociaciones inscriptas al 40% de su cupo, los alumnos y el semillero, 226,1 M; y las licencias de las 10 nuevas, 17,4 M; usadas enteras, las 160 asociaciones suman hasta 66 M más); auditoría externa 135,4 M, el 10% del sueldo del equipo de 59 personas. Con los dispositivos, 2.091,7 M. ESTIMACIÓN PROPIA</t>
  </si>
  <si>
    <t xml:space="preserve">Dispositivos</t>
  </si>
  <si>
    <t xml:space="preserve">Cuadro 27</t>
  </si>
  <si>
    <t xml:space="preserve">Semillero de empresas</t>
  </si>
  <si>
    <t xml:space="preserve">Cálculo propio (5.3): 117,1 M del fondo que presta uno a uno (hasta cinco empresas por año, 23,4 M cada una) y 3,9 M para constituirlas</t>
  </si>
  <si>
    <t xml:space="preserve">Parte de Ciencia y Técnica ocupada</t>
  </si>
  <si>
    <t xml:space="preserve">El 27,1% del documento. Sin el semillero, 25,6%</t>
  </si>
  <si>
    <t xml:space="preserve">Q · PASANTÍAS Y GASTO FLEXIBLE (5.3 y 3.4)</t>
  </si>
  <si>
    <t xml:space="preserve">Pasantes a la vez en el Municipio, en régimen</t>
  </si>
  <si>
    <t xml:space="preserve">928 por año, seis meses cada uno</t>
  </si>
  <si>
    <t xml:space="preserve">De ellos, en la plataforma y los dispositivos</t>
  </si>
  <si>
    <t xml:space="preserve">Cuadro 27: 15 de la plataforma y 2 de dispositivos, los 17 del cuadro 32</t>
  </si>
  <si>
    <t xml:space="preserve">Costo de un pasante por año, con ART y salud</t>
  </si>
  <si>
    <t xml:space="preserve">240.000 $ por mes: 1.013,2 M por 320 pasantes (5.3)</t>
  </si>
  <si>
    <t xml:space="preserve">Beca de práctica por mes</t>
  </si>
  <si>
    <t xml:space="preserve">La asignación del pasante: la misma para quien no tiene lugar en una empresa</t>
  </si>
  <si>
    <t xml:space="preserve">Principiantes que contratan las áreas, por año</t>
  </si>
  <si>
    <t xml:space="preserve">90 puestos de operación, a escala municipal (5.3)</t>
  </si>
  <si>
    <t xml:space="preserve">Lo que pagan las áreas: pasantes y principiantes</t>
  </si>
  <si>
    <t xml:space="preserve">Del presupuesto de cada área: los 2.135,3 M del cuadro 14. No es gasto nuevo</t>
  </si>
  <si>
    <t xml:space="preserve">Lo que pagan las empresas por los segundos seis meses · no es gasto municipal</t>
  </si>
  <si>
    <t xml:space="preserve">1.469,1 M por año</t>
  </si>
  <si>
    <t xml:space="preserve">Beca de práctica, peor caso: ninguna empresa toma pasantes</t>
  </si>
  <si>
    <t xml:space="preserve">1.336,3 M por año, del gasto flexible que queda libre</t>
  </si>
  <si>
    <t xml:space="preserve">Módulo de salud de los años 1 y 2, como máximo</t>
  </si>
  <si>
    <t xml:space="preserve">Lo que habría pagado la contratación de desarrollos el año 2: 988,4 M. Sale del gasto flexible libre</t>
  </si>
  <si>
    <t xml:space="preserve">Reasignación del gasto flexible, en régimen</t>
  </si>
  <si>
    <t xml:space="preserve">Ambiente, educación, apoyo escolar y los datos, la guarda y el difuminado de las grabaciones de las inspecciones: lo que ceden los tres programas del cuadro 15, 6.767 M. Los soportes y las bases van aparte, una vez</t>
  </si>
  <si>
    <t xml:space="preserve">Obra vecinal del año 4</t>
  </si>
  <si>
    <t xml:space="preserve">28.908 M: la mitad de la obra pública</t>
  </si>
  <si>
    <t xml:space="preserve">Fondos nuevos sobre el gasto flexible</t>
  </si>
  <si>
    <t xml:space="preserve">El 8,3% del documento</t>
  </si>
  <si>
    <t xml:space="preserve">Empleo y vivienda y obra vecinal sobre el gasto flexible</t>
  </si>
  <si>
    <t xml:space="preserve">41,4%. El documento ya no usa esta cifra: usa la de la fila 180</t>
  </si>
  <si>
    <t xml:space="preserve">Gasto flexible ocupado, con todo</t>
  </si>
  <si>
    <t xml:space="preserve">Fondos nuevos, reasignación, áreas, cuidadores, Escuela Náutica, clases de la costa, validadores y mensajes de texto de las multas, espectáculos de Cultura y obra vecinal, menos el ahorro de los tomógrafos propios (fila 296): el 51,8% del documento</t>
  </si>
  <si>
    <t xml:space="preserve">Gasto flexible libre</t>
  </si>
  <si>
    <t xml:space="preserve">El 48,2%</t>
  </si>
  <si>
    <t xml:space="preserve">Libre con la beca, el módulo de salud y el ahorro de tomógrafos del peor caso</t>
  </si>
  <si>
    <t xml:space="preserve">El 44,7%: el peor caso, con el ahorro de tomógrafos del peor caso (fila 298). La plataforma y el semillero se pagan dentro de Ciencia y Técnica</t>
  </si>
  <si>
    <t xml:space="preserve">R · EL SISTEMA VECINAL (capítulo 4)</t>
  </si>
  <si>
    <t xml:space="preserve">Funcionamiento: parte fija de la partida vecinal</t>
  </si>
  <si>
    <t xml:space="preserve">Cuidado de chicos en cada asamblea, honorario de los tres vecinos que firman la recepción y administración de las obras de la comisión: 433,6 M el año 4 y 108,4 M el año 1 (4.6). Sale de la propia partida</t>
  </si>
  <si>
    <t xml:space="preserve">Panel sorteado: honorario por panel</t>
  </si>
  <si>
    <t xml:space="preserve">40 personas, cuatro sesiones y un día del sueldo de ingreso municipal por sesión. Sale de reasignación (3.4)</t>
  </si>
  <si>
    <t xml:space="preserve">S · GASTO 2025 POR FINALIDAD Y FUNCIÓN (ejecución, acumulado anual)</t>
  </si>
  <si>
    <t xml:space="preserve">1.1 · Legislativa</t>
  </si>
  <si>
    <t xml:space="preserve">Estado de ejecución de gastos por finalidad y función 2025, acumulado anual</t>
  </si>
  <si>
    <t xml:space="preserve">1.2 · Judicial</t>
  </si>
  <si>
    <t xml:space="preserve">1.3 · Dirección superior ejecutiva</t>
  </si>
  <si>
    <t xml:space="preserve">1.5 · Relaciones con la comunidad</t>
  </si>
  <si>
    <t xml:space="preserve">1.6 · Administración fiscal</t>
  </si>
  <si>
    <t xml:space="preserve">1.7 · Control de la gestión pública</t>
  </si>
  <si>
    <t xml:space="preserve">2.1 · Seguridad interna</t>
  </si>
  <si>
    <t xml:space="preserve">3.1 · Salud</t>
  </si>
  <si>
    <t xml:space="preserve">3.2 · Promoción y asistencia social</t>
  </si>
  <si>
    <t xml:space="preserve">3.4 · Educación y cultura</t>
  </si>
  <si>
    <t xml:space="preserve">3.5 · Ciencia y técnica</t>
  </si>
  <si>
    <t xml:space="preserve">3.6 · Trabajo</t>
  </si>
  <si>
    <t xml:space="preserve">3.7 · Vivienda y urbanismo</t>
  </si>
  <si>
    <t xml:space="preserve">3.8 · Agua potable y alcantarillado</t>
  </si>
  <si>
    <t xml:space="preserve">3.9 · Urbanismo</t>
  </si>
  <si>
    <t xml:space="preserve">4.3 · Transporte</t>
  </si>
  <si>
    <t xml:space="preserve">4.4 · Ecología y medio ambiente</t>
  </si>
  <si>
    <t xml:space="preserve">4.7 · Comercio, turismo y otros servicios</t>
  </si>
  <si>
    <t xml:space="preserve">5.1 · Servicios de la deuda pública</t>
  </si>
  <si>
    <t xml:space="preserve">Total por función</t>
  </si>
  <si>
    <t xml:space="preserve">Es el gasto por objeto sin los activos financieros: control en la hoja Resumen anual</t>
  </si>
  <si>
    <t xml:space="preserve">T · LOS TRES PROGRAMAS QUE CEDEN (cuadro 15)</t>
  </si>
  <si>
    <t xml:space="preserve">Mantenimiento y embellecimiento del Municipio (programa 49)</t>
  </si>
  <si>
    <t xml:space="preserve">Estado de ejecución de gastos por programa 2025, acumulado anual</t>
  </si>
  <si>
    <t xml:space="preserve">Construcción de infraestructura deportiva (programa 35)</t>
  </si>
  <si>
    <t xml:space="preserve">Mantenimiento y reposición del arbolado público (programa 23)</t>
  </si>
  <si>
    <t xml:space="preserve">Lo que ceden: la reasignación sobre los tres</t>
  </si>
  <si>
    <t xml:space="preserve">El 27% del cuadro 15</t>
  </si>
  <si>
    <t xml:space="preserve">U · SI LA TABLA NUEVA NO SALE EN DICIEMBRE Y COBRA DESDE ABRIL (6.6)</t>
  </si>
  <si>
    <t xml:space="preserve">Parte de lo cobrado en el año que entra de abril a diciembre</t>
  </si>
  <si>
    <t xml:space="preserve">2025: el primer trimestre trajo el 27,3% de lo cobrado en el año por tasas y derechos (rubro 1.2), en pesos constantes (estado de ejecución de recursos, cálculo propio)</t>
  </si>
  <si>
    <t xml:space="preserve">Año 1: lo que cobra la tabla nueva si cobra desde abril</t>
  </si>
  <si>
    <t xml:space="preserve">1.190 M en vez de 1.637 M</t>
  </si>
  <si>
    <t xml:space="preserve">Año 1: lo que necesita el programa</t>
  </si>
  <si>
    <t xml:space="preserve">1.806 M</t>
  </si>
  <si>
    <t xml:space="preserve">Año 1: lo que cobra menos lo que necesita el programa</t>
  </si>
  <si>
    <t xml:space="preserve">−616 M, en vez de −170 M</t>
  </si>
  <si>
    <t xml:space="preserve">Resultado 2028 con el programa, si la tabla cobra desde abril</t>
  </si>
  <si>
    <t xml:space="preserve">+1.576 M: el mismo que sin el programa, porque lo que falta sale del gasto flexible</t>
  </si>
  <si>
    <t xml:space="preserve">Resultado 2028 si nada cambia, para comparar</t>
  </si>
  <si>
    <t xml:space="preserve">Año 1: lo que sale del gasto flexible si la tabla cobra desde abril</t>
  </si>
  <si>
    <t xml:space="preserve">616 M en vez de 170 M: el 0,7% del gasto flexible. Desde 2029 no cambia nada</t>
  </si>
  <si>
    <t xml:space="preserve">V · CUIDADORES DOMICILIARIOS Y EQUIPOS POR ÁREA (5.13 y 3.4)</t>
  </si>
  <si>
    <t xml:space="preserve">Cuidadores domiciliarios, primera etapa</t>
  </si>
  <si>
    <t xml:space="preserve">Formados en el curso de operador de cuidados de adultos mayores del CFL 404 (380 h, DGCyE 2269/2022); unas 240 personas, cuatro horas por día cada una. Los paga Desarrollo Social</t>
  </si>
  <si>
    <t xml:space="preserve">Sueldo mensual · asistencia y cuidado de personas, con retiro</t>
  </si>
  <si>
    <t xml:space="preserve">Diciembre de 2025: Comisión Nacional de Trabajo en Casas Particulares, Resolución 3/2025, Anexo II</t>
  </si>
  <si>
    <t xml:space="preserve">Cargas del empleador</t>
  </si>
  <si>
    <t xml:space="preserve">Las del cuadro 27: IPS 12%, IOMA 4,8% y ART 3,275%</t>
  </si>
  <si>
    <t xml:space="preserve">Cuidadores · costo anual, trece sueldos</t>
  </si>
  <si>
    <t xml:space="preserve">667,8 M por año: entra en el gasto flexible ocupado</t>
  </si>
  <si>
    <t xml:space="preserve">Ambiente · seis estaciones de monitoreo de ruido, una vez</t>
  </si>
  <si>
    <t xml:space="preserve">39.718.000 $ cada una (Ciudad, orden de compra de diciembre de 2024), a pesos de diciembre de 2025</t>
  </si>
  <si>
    <t xml:space="preserve">Formación · sesenta puestos en seis centros de acceso, una vez</t>
  </si>
  <si>
    <t xml:space="preserve">Notebook, escritorio y silla: 2,28 M por puesto (compras públicas 2025 y 2026)</t>
  </si>
  <si>
    <t xml:space="preserve">Formación · conexión de las seis sedes, por año</t>
  </si>
  <si>
    <t xml:space="preserve">Fibra óptica, 629.200 $ por mes (Ciudad, 2026)</t>
  </si>
  <si>
    <t xml:space="preserve">Inspecciones · cámaras corporales: salen</t>
  </si>
  <si>
    <t xml:space="preserve">El agente graba con su teléfono (filas 54 y 57): salen las 80 cámaras corporales (168,7 M) y su licencia (3,8 M por año)</t>
  </si>
  <si>
    <t xml:space="preserve">Salud · trece pantallas de ocupación de guardia, una vez</t>
  </si>
  <si>
    <t xml:space="preserve">Televisor de 43 pulgadas, soporte y mini PC: 0,64 M por pantalla (compras públicas 2025 y 2026)</t>
  </si>
  <si>
    <t xml:space="preserve">Cada equipo entra en la línea de su área y dentro de su monto; en Ciencia y Técnica quedan las personas que los instalan (cuadro 27). Precios llevados a diciembre de 2025 con el IPC.</t>
  </si>
  <si>
    <t xml:space="preserve">Ambiente · adelanto del año 1 para la costa, una vez</t>
  </si>
  <si>
    <t xml:space="preserve">Cálculo propio (5.5): diagnóstico de Perú 8-22 M (veinte sensores de unos 25 dólares, unos 500 dólares en total), piloto de arena con pie de piedra 196 M, muestras 42-75 M, bote, desfibrilador y primera temporada de guardavidas 42 M. Sale de los tres programas que ceden (contrapartida, Programas fila 16), no de los 1.410 M que Ambiente ya gasta: no cambia el gasto total ni el resultado</t>
  </si>
  <si>
    <t xml:space="preserve">Deportes · Escuela Náutica, seis puestos desde el año 3, por año</t>
  </si>
  <si>
    <t xml:space="preserve">5.5: el tope de 373 a 395 M. Profesores (108 horas por semana por puesto, categoría 991, con aguinaldo y cargas), reposición, bote y mantenimiento; vela y windsurf en cuatro. Lo paga Deportes con su propio presupuesto: no cambia el gasto total ni el resultado</t>
  </si>
  <si>
    <t xml:space="preserve">Deportes · Escuela Náutica, inversión en tres años, de obras deportivas</t>
  </si>
  <si>
    <t xml:space="preserve">5.5: el tope de 458 a 717 M: módulo, bajada estimada, equipos y bote; vela y windsurf en cuatro. Sale de Construcción de infraestructura deportiva (programa 35): no cambia el gasto total ni el resultado</t>
  </si>
  <si>
    <t xml:space="preserve">Escuela Náutica · año 1, dos puestos: inversión</t>
  </si>
  <si>
    <t xml:space="preserve">De 167 a 268 M (el tope)</t>
  </si>
  <si>
    <t xml:space="preserve">Escuela Náutica · año 1: por año</t>
  </si>
  <si>
    <t xml:space="preserve">De 127 a 136 M (el tope)</t>
  </si>
  <si>
    <t xml:space="preserve">Escuela Náutica · año 2, dos más: inversión</t>
  </si>
  <si>
    <t xml:space="preserve">De 145 a 225 M (el tope)</t>
  </si>
  <si>
    <t xml:space="preserve">Escuela Náutica · año 2: por año, cuatro puestos</t>
  </si>
  <si>
    <t xml:space="preserve">De 250 a 266 M (el tope)</t>
  </si>
  <si>
    <t xml:space="preserve">Escuela Náutica · año 3, los dos últimos: inversión</t>
  </si>
  <si>
    <t xml:space="preserve">De 145 a 225 M (el tope). Supuesto: dos puestos de agua abierta el año 1 y uno en cada uno de los siguientes</t>
  </si>
  <si>
    <t xml:space="preserve">W · LA TABLA SE COBRA COMO EL ABL; LO QUE FALTA SALE DEL GASTO FLEXIBLE (3.5)</t>
  </si>
  <si>
    <t xml:space="preserve">ABL 2025 · facturado (devengado)</t>
  </si>
  <si>
    <t xml:space="preserve">Rubro 1.2.1.01, ejecución de recursos 2025, acumulado anual</t>
  </si>
  <si>
    <t xml:space="preserve">ABL 2025 · cobrado (percibido)</t>
  </si>
  <si>
    <t xml:space="preserve">Incluye deuda de años anteriores y pagos adelantados</t>
  </si>
  <si>
    <t xml:space="preserve">Lo que se cobra del ABL</t>
  </si>
  <si>
    <t xml:space="preserve">73,97%: el peor caso del rango de 74% a 82% (2024: 82,1%; primer semestre de 2026: 79,3%). El 89,32% de la fila 33 es la cobranza de todos los ingresos, coparticipación incluida</t>
  </si>
  <si>
    <t xml:space="preserve">Año 1 · lo que falta y sale del gasto flexible</t>
  </si>
  <si>
    <t xml:space="preserve">170 M: la tabla cobra 1.637 M y el programa pide 1.806 M</t>
  </si>
  <si>
    <t xml:space="preserve">Año 2 · lo que falta</t>
  </si>
  <si>
    <t xml:space="preserve">Cero: la tabla cobra más de lo que pide la rampa</t>
  </si>
  <si>
    <t xml:space="preserve">Año 3 · lo que falta</t>
  </si>
  <si>
    <t xml:space="preserve">Cero</t>
  </si>
  <si>
    <t xml:space="preserve">Año 4 en adelante · lo que falta</t>
  </si>
  <si>
    <t xml:space="preserve">1.242 M: la tabla cobra 5.983 M y el programa pide 7.225,2 M</t>
  </si>
  <si>
    <t xml:space="preserve">Lo que falta en régimen, sobre el gasto flexible</t>
  </si>
  <si>
    <t xml:space="preserve">1,4%. Ya está dentro de los 7.225,2 M del programa: el gasto flexible libre no cambia (44,7%)</t>
  </si>
  <si>
    <t xml:space="preserve">X · LA COSTA: BAÑOS, CLASES Y FOODTRUCKS (5.5)</t>
  </si>
  <si>
    <t xml:space="preserve">Deportes · profesores de las clases de la costa, por año</t>
  </si>
  <si>
    <t xml:space="preserve">5.5: una clase a la mañana y una a la tarde, de lunes a jueves, en los seis lugares; 48 horas por semana, categoría 991 (490.335 $ por hora semanal y por año, con aguinaldo y cargas). Lo paga Deportes con su propio presupuesto: no cambia el gasto total ni el resultado</t>
  </si>
  <si>
    <t xml:space="preserve">Ambiente · baños de los seis lugares desde el año 3, por año</t>
  </si>
  <si>
    <t xml:space="preserve">5.5: de 251 a 354 M (el tope): limpieza dos veces por día, insumos, agua, mantenimiento y encargado fijo. 82 a 121 M el año 1 y 167 a 240 M el año 2, de a dos por año desde el Águila. Dentro del aumento de Ambiente (filas 51 y 52): no cambia el gasto total ni el resultado</t>
  </si>
  <si>
    <t xml:space="preserve">Ambiente · mantenimiento del equipamiento para las clases, por año</t>
  </si>
  <si>
    <t xml:space="preserve">De 3,0 a 31,7 M con los seis (el tope). Dentro del aumento de Ambiente</t>
  </si>
  <si>
    <t xml:space="preserve">Obras deportivas · obra de los seis baños, en tres años</t>
  </si>
  <si>
    <t xml:space="preserve">De 426 a 791 M (el tope), de a dos por año en el orden de la Escuela Náutica, desde el Águila: de 142 a 296 M el año 1 y de 122 a 265 M los años 2 y 3; Sáenz Peña y Centenera con bomba. Sale de Construcción de infraestructura deportiva (programa 35)</t>
  </si>
  <si>
    <t xml:space="preserve">Obras deportivas · equipamiento para las clases, seis lugares</t>
  </si>
  <si>
    <t xml:space="preserve">De 215 a 454 M (el tope): plataforma desmontable de madera dura, como el módulo náutico, bebedero, sombra y luz solar, de a dos por año</t>
  </si>
  <si>
    <t xml:space="preserve">Obras deportivas · con la Escuela Náutica, lo que usa de lo que le queda, peor año</t>
  </si>
  <si>
    <t xml:space="preserve">Del 17% al 37% de los 1.943 M que le quedan por año a obras deportivas en los años 1 a 3</t>
  </si>
  <si>
    <t xml:space="preserve">Canon de un foodtruck por mes, como el de Tigre</t>
  </si>
  <si>
    <t xml:space="preserve">Ordenanza Impositiva 2026 de Tigre, en pesos de 2026. Con tres por puesto, 604.050 $ por mes; en Bosque Alegre, con 15 a 20, de 3,0 a 4,0 M. En los cuatro lugares del convenio queda el 60%</t>
  </si>
  <si>
    <t xml:space="preserve">Y · MULTAS DE TRÁNSITO: LO QUE SE DEJA DE COBRAR (5.11)</t>
  </si>
  <si>
    <t xml:space="preserve">Cada 10% de rebaja media de las multas, por año</t>
  </si>
  <si>
    <t xml:space="preserve">En 2024 se pagaron entre 13.000 y 456.000 multas (81.000 como estimación central). No se publica cuántas se labran, así que no entra en el resultado: sale del gasto flexible libre</t>
  </si>
  <si>
    <t xml:space="preserve">Cada 10% de rebaja media, sobre el gasto flexible</t>
  </si>
  <si>
    <t xml:space="preserve">0,4%: puntos del margen libre (44,7%)</t>
  </si>
  <si>
    <t xml:space="preserve">Tránsito o Juzgado de Faltas · cuatro personas que validan las actas, por año</t>
  </si>
  <si>
    <t xml:space="preserve">Cálculo propio: una persona con experiencia y tres principiantes, con los sueldos del cuadro 27. Con el resto del presupuesto y no con el fondo de seguridad vial: pagar con las multas a quien multa invita a multar más. Entra en el gasto flexible ocupado</t>
  </si>
  <si>
    <t xml:space="preserve">Educación · cuatro docentes que revisan el profesor digital, por año</t>
  </si>
  <si>
    <t xml:space="preserve">Cálculo propio, con sueldo de principiante. Dentro de la recomposición de Educación (fila 53): no suma</t>
  </si>
  <si>
    <t xml:space="preserve">Tránsito · mensajes de texto para avisar antes de multar, por año</t>
  </si>
  <si>
    <t xml:space="preserve">Cálculo propio: de 0,8 a 5,9 M por año; se toma el tope. El aviso va por la inteligencia artificial del Municipio y, a quien dio su celular, por mensaje de texto. Lo paga Tránsito: entra en el gasto flexible ocupado</t>
  </si>
  <si>
    <t xml:space="preserve">Z · EL FONDO DE SEGURIDAD VIAL NO MUEVE EL MARGEN (5.11)</t>
  </si>
  <si>
    <t xml:space="preserve">Multas cobradas en 2025: otras multas en vía pública, a pesos de diciembre de 2025</t>
  </si>
  <si>
    <t xml:space="preserve">Rubro 1.2.6.04 de la ejecución de recursos, trimestre por trimestre, llevado a pesos de diciembre de 2025 con el IPC: cálculo propio. El presupuesto no separa las de tránsito</t>
  </si>
  <si>
    <t xml:space="preserve">Con las multas por contravenciones</t>
  </si>
  <si>
    <t xml:space="preserve">Más el rubro 1.2.6.01: el techo de lo que puede ser de tránsito</t>
  </si>
  <si>
    <t xml:space="preserve">Gasto 2025 en semaforización y señalamiento vial y en la política de movilidad, a pesos de diciembre de 2025</t>
  </si>
  <si>
    <t xml:space="preserve">Programas 27 y 26 de 2025 (1.654,2 M y 4.687,6 M), por 1,1352: el promedio del IPC del año</t>
  </si>
  <si>
    <t xml:space="preserve">Lo que ya se gasta en seguridad vial menos lo que se cobra en multas</t>
  </si>
  <si>
    <t xml:space="preserve">Positivo: lo que se cobra ya se gasta en seguridad vial, como manda la Ley 24.449, art. 85. El fondo no mueve el margen</t>
  </si>
  <si>
    <t xml:space="preserve">AA · ESPECTÁCULOS AL AIRE LIBRE: LOS PAGA CULTURA (5.5)</t>
  </si>
  <si>
    <t xml:space="preserve">Cultura · 200 shows, tres equipos de producción, salas bajo techo y control contra robos, por año</t>
  </si>
  <si>
    <t xml:space="preserve">Cálculo propio (5.5): 114 shows al aire libre, del 20 de septiembre al 15 de abril, y 86 bajo techo; lo que se les paga a los artistas por los 200 shows (10% solistas, 40% dúos o tríos y 50% bandas de cuatro o más) con las cancelaciones, 270,6 M; producción con equipo propio, 106,8 M (8 personas nuevas, 85,3 M con reemplazos); salas bajo techo, en espacios municipales para los solistas y en cuatro clubes o centros culturales por convenio, 14,1 M; control contra robos, 2,0 a 2,7 M: unos 394 M. Entra en el gasto flexible ocupado</t>
  </si>
  <si>
    <t xml:space="preserve">Cultura · compra de equipos, limitadores y control contra robos, una vez</t>
  </si>
  <si>
    <t xml:space="preserve">Cálculo propio (5.5): 125,9 M de equipos (dos de sonido para bandas, de 29,5 M con tarima y toldo; dos para callejeros, de 4,9 M; camioneta) y 5,2 M de control. Además, un limitador con bloqueo y clave y dos bafles chicos para el «modo plaza» en cada equipo de show, 7,7 M por los dos</t>
  </si>
  <si>
    <t xml:space="preserve">Cultura · el primer año, con la compra</t>
  </si>
  <si>
    <t xml:space="preserve">Unos 532 M, de 393,5 a 394,2 M por año más 138,8 M de compra, con el 10% de los shows de solistas, el 40% de dúos o tríos y el 50% de bandas</t>
  </si>
  <si>
    <t xml:space="preserve">AB · TOMÓGRAFOS PROPIOS Y RESONANCIA A LA VISTA (5.6)</t>
  </si>
  <si>
    <t xml:space="preserve">Tomografía 2024 · montos autorizados, a pesos de diciembre de 2025</t>
  </si>
  <si>
    <t xml:space="preserve">Orden de compra 117/2024 por 900 M, ampliada en 600 M (Decreto 1352/2024), y 1.418 estudios convalidados por 124,3 M (Decreto 1812/2024), con el IPC del INDEC. Son montos autorizados, no pagos</t>
  </si>
  <si>
    <t xml:space="preserve">Tomografías por año (estimación)</t>
  </si>
  <si>
    <t xml:space="preserve">Cálculo propio: 620 estudios en 33 días en el Central y 798 en 21 días en Boulogne (Decreto 1812/2024), llevados a un año. El Municipio no publica la cantidad</t>
  </si>
  <si>
    <t xml:space="preserve">Precio del servicio por tomografía, en dólares</t>
  </si>
  <si>
    <t xml:space="preserve">Valor IOMA, código 88 pesados, más 43% (Ordenanza 9299 y Decreto 1755/2023), con 35% de estudios con contraste</t>
  </si>
  <si>
    <t xml:space="preserve">Dólar de diciembre de 2025 (BCRA, Comunicación A 3500)</t>
  </si>
  <si>
    <t xml:space="preserve">Servicio de tomografía a ese precio, por año</t>
  </si>
  <si>
    <t xml:space="preserve">2.492 M: contra este monto se calcula el ahorro</t>
  </si>
  <si>
    <t xml:space="preserve">Precio de un tomógrafo nuevo, en dólares</t>
  </si>
  <si>
    <t xml:space="preserve">Ciudad de Buenos Aires, Buenos Aires Compras, diciembre de 2025. La Provincia pagó 670 M por uno de 64 cortes en enero de 2026 (unos 450.000 dólares): es el peor caso</t>
  </si>
  <si>
    <t xml:space="preserve">Adecuación de la sala, sobre el precio del equipo</t>
  </si>
  <si>
    <t xml:space="preserve">Supuesto del estudio. En el peor caso, 25%</t>
  </si>
  <si>
    <t xml:space="preserve">Dos tomógrafos y sus salas, una vez</t>
  </si>
  <si>
    <t xml:space="preserve">1.315 M. Se puede comprar o tomar con el leasing de la Provincia para municipios, en 48 cuotas, pagadas con la misma partida que hoy paga el servicio</t>
  </si>
  <si>
    <t xml:space="preserve">Tener los dos equipos, por año, en dólares</t>
  </si>
  <si>
    <t xml:space="preserve">Cálculo propio: la compra repartida en 10 años al 8% real, mantenimiento 10%, 11 puestos de técnico (convenio FATSA más 20%), informe y contraste a valor IOMA, 5% de gastos generales, con 20.000 estudios</t>
  </si>
  <si>
    <t xml:space="preserve">Tener los dos equipos, por año</t>
  </si>
  <si>
    <t xml:space="preserve">1.132 M por año, contando la compra</t>
  </si>
  <si>
    <t xml:space="preserve">Ahorro por año con tomógrafos propios</t>
  </si>
  <si>
    <t xml:space="preserve">1.360 M por año. Resta en el gasto flexible ocupado (fila 180)</t>
  </si>
  <si>
    <t xml:space="preserve">Ahorro por año, peor caso, en dólares</t>
  </si>
  <si>
    <t xml:space="preserve">Equipo al precio de la Provincia, sala 25%, 8 años de vida, mantenimiento 12%, técnicos e informes por 1,5 y contraste por 2</t>
  </si>
  <si>
    <t xml:space="preserve">Ahorro por año, peor caso</t>
  </si>
  <si>
    <t xml:space="preserve">660 M por año. Entra en el peor caso (fila 182)</t>
  </si>
  <si>
    <t xml:space="preserve">Resonancia · servicio por año (Licitación Pública 40/2025)</t>
  </si>
  <si>
    <t xml:space="preserve">Valor IOMA más 35% (Decreto 1219/2025). En 2021 era IOMA menos 11% (Decreto 1069/2021). Se sigue contratando</t>
  </si>
  <si>
    <t xml:space="preserve">Resonancias por año (estimación)</t>
  </si>
  <si>
    <t xml:space="preserve">Cálculo propio: 370,8 M divididos por el valor IOMA de octubre de 2025 más 35%, con 30% de estudios con contraste</t>
  </si>
  <si>
    <t xml:space="preserve">Resonancias por año desde las que conviene un resonador propio</t>
  </si>
  <si>
    <t xml:space="preserve">Cálculo propio: un equipo de 1,5 T con su obra (1,85 M de dólares) cuesta 507.386 dólares fijos por año. Con 3.400 estudios costaría unos 277.000 dólares más por año que el servicio</t>
  </si>
  <si>
    <t xml:space="preserve">PERFIL MENSUAL POR ORIGEN Y POR OBJETO</t>
  </si>
  <si>
    <t xml:space="preserve">Un municipio no cobra ni gasta doce doceavos parejos. Cada fila suma 100%.</t>
  </si>
  <si>
    <t xml:space="preserve">CONCEPTO</t>
  </si>
  <si>
    <t xml:space="preserve">Ene</t>
  </si>
  <si>
    <t xml:space="preserve">Feb</t>
  </si>
  <si>
    <t xml:space="preserve">Mar</t>
  </si>
  <si>
    <t xml:space="preserve">Abr</t>
  </si>
  <si>
    <t xml:space="preserve">May</t>
  </si>
  <si>
    <t xml:space="preserve">Jun</t>
  </si>
  <si>
    <t xml:space="preserve">Jul</t>
  </si>
  <si>
    <t xml:space="preserve">Ago</t>
  </si>
  <si>
    <t xml:space="preserve">Sep</t>
  </si>
  <si>
    <t xml:space="preserve">Oct</t>
  </si>
  <si>
    <t xml:space="preserve">Nov</t>
  </si>
  <si>
    <t xml:space="preserve">Dic</t>
  </si>
  <si>
    <t xml:space="preserve">TOTAL</t>
  </si>
  <si>
    <t xml:space="preserve">NOTA</t>
  </si>
  <si>
    <t xml:space="preserve">Tasas y derechos municipales, y la base de valuación</t>
  </si>
  <si>
    <t xml:space="preserve">Pico en enero por el pago anual anticipado con descuento; el resto, cuota bimestral. Perfil estimado</t>
  </si>
  <si>
    <t xml:space="preserve">Coparticipación y demás de origen provincial</t>
  </si>
  <si>
    <t xml:space="preserve">La coparticipación y Seguridad e Higiene son continuas. Perfil estimado</t>
  </si>
  <si>
    <t xml:space="preserve">Nacional y otros orígenes</t>
  </si>
  <si>
    <t xml:space="preserve">Sin estacionalidad relevante</t>
  </si>
  <si>
    <t xml:space="preserve">Recursos de capital</t>
  </si>
  <si>
    <t xml:space="preserve">Sigue el avance de obra</t>
  </si>
  <si>
    <t xml:space="preserve">Personal (sin aguinaldo)</t>
  </si>
  <si>
    <t xml:space="preserve">Doce sueldos parejos: un doceavo cada mes</t>
  </si>
  <si>
    <t xml:space="preserve">Aguinaldo</t>
  </si>
  <si>
    <t xml:space="preserve">Medio en junio, medio en diciembre</t>
  </si>
  <si>
    <t xml:space="preserve">Bienes de consumo</t>
  </si>
  <si>
    <t xml:space="preserve">Compras con receso en enero y diciembre</t>
  </si>
  <si>
    <t xml:space="preserve">Servicios no personales</t>
  </si>
  <si>
    <t xml:space="preserve">Contratos mensuales, casi parejos</t>
  </si>
  <si>
    <t xml:space="preserve">Bienes de uso (obra)</t>
  </si>
  <si>
    <t xml:space="preserve">Curva de obra: arranque lento en verano, pico marzo a noviembre</t>
  </si>
  <si>
    <t xml:space="preserve">Transferencias</t>
  </si>
  <si>
    <t xml:space="preserve">Aportes periódicos</t>
  </si>
  <si>
    <t xml:space="preserve">RECURSOS MENSUALES POR ORIGEN · 2028–2035</t>
  </si>
  <si>
    <t xml:space="preserve">Percibidos, por origen del dinero, como en el documento. Lo facturado y no cobrado va aparte, como dato.</t>
  </si>
  <si>
    <t xml:space="preserve">AÑO</t>
  </si>
  <si>
    <t xml:space="preserve">2028</t>
  </si>
  <si>
    <t xml:space="preserve">2029</t>
  </si>
  <si>
    <t xml:space="preserve">2030</t>
  </si>
  <si>
    <t xml:space="preserve">2031</t>
  </si>
  <si>
    <t xml:space="preserve">2032</t>
  </si>
  <si>
    <t xml:space="preserve">2033</t>
  </si>
  <si>
    <t xml:space="preserve">2034</t>
  </si>
  <si>
    <t xml:space="preserve">2035</t>
  </si>
  <si>
    <t xml:space="preserve">MES</t>
  </si>
  <si>
    <t xml:space="preserve">RECURSOS CORRIENTES PERCIBIDOS, POR ORIGEN</t>
  </si>
  <si>
    <t xml:space="preserve">11 · Origen municipal: tasas, derechos y rentas</t>
  </si>
  <si>
    <t xml:space="preserve">11 · Base de valuación actualizada: lo cobrado</t>
  </si>
  <si>
    <t xml:space="preserve">21 · Origen provincial: coparticipación</t>
  </si>
  <si>
    <t xml:space="preserve">21 · Origen provincial: fondos específicos</t>
  </si>
  <si>
    <t xml:space="preserve">31 y 41 · Origen nacional y otros orígenes</t>
  </si>
  <si>
    <t xml:space="preserve">Total ingresos corrientes percibidos</t>
  </si>
  <si>
    <t xml:space="preserve">RECURSOS DE CAPITAL Y PERCEPCIÓN</t>
  </si>
  <si>
    <t xml:space="preserve">Percepción sobre lo facturado, la de la palanca</t>
  </si>
  <si>
    <t xml:space="preserve">Factor contra la percepción de 2025</t>
  </si>
  <si>
    <t xml:space="preserve">TOTAL PERCIBIDO</t>
  </si>
  <si>
    <t xml:space="preserve">Memo · facturado y no cobrado en el mes</t>
  </si>
  <si>
    <t xml:space="preserve">Memo · percepción sobre lo facturado</t>
  </si>
  <si>
    <t xml:space="preserve">GASTOS MENSUALES POR OBJETO · 2028–2035</t>
  </si>
  <si>
    <t xml:space="preserve">Clasificador RAFAM. Devengado, con el pagado calculado aparte por el rezago de cada objeto.</t>
  </si>
  <si>
    <t xml:space="preserve">DEVENGADO POR OBJETO</t>
  </si>
  <si>
    <t xml:space="preserve">1 · Personal (sin aguinaldo)</t>
  </si>
  <si>
    <t xml:space="preserve">1 · Aguinaldo</t>
  </si>
  <si>
    <t xml:space="preserve">2 · Bienes de consumo</t>
  </si>
  <si>
    <t xml:space="preserve">3 · Servicios no personales</t>
  </si>
  <si>
    <t xml:space="preserve">4 · Bienes de uso (obra pública)</t>
  </si>
  <si>
    <t xml:space="preserve">5 · Transferencias</t>
  </si>
  <si>
    <t xml:space="preserve">6 · Activos financieros · debajo de la línea</t>
  </si>
  <si>
    <t xml:space="preserve">7 · Deuda: lo que se paga de la deuda y del bono · debajo de la línea</t>
  </si>
  <si>
    <t xml:space="preserve">Programas del capítulo 5: lo que suma empleo y vivienda</t>
  </si>
  <si>
    <t xml:space="preserve">TOTAL DEVENGADO</t>
  </si>
  <si>
    <t xml:space="preserve">PAGADO · DEVENGADO CON REZAGO</t>
  </si>
  <si>
    <t xml:space="preserve">Personal y deuda (sin rezago)</t>
  </si>
  <si>
    <t xml:space="preserve">Bienes y servicios pagados</t>
  </si>
  <si>
    <t xml:space="preserve">Obra pública pagada</t>
  </si>
  <si>
    <t xml:space="preserve">TOTAL PAGADO</t>
  </si>
  <si>
    <t xml:space="preserve">Memo · devengado y no pagado en el mes (deuda flotante del período)</t>
  </si>
  <si>
    <t xml:space="preserve">Memo · rigidez del mes (personal, servicios y deuda sobre el total)</t>
  </si>
  <si>
    <t xml:space="preserve">Los dos primeros meses del modelo se pagan sin rezago porque no hay historia previa: de otro modo el modelo inventaría deuda flotante que no existe.</t>
  </si>
  <si>
    <t xml:space="preserve">FLUJO DE FONDOS MUNICIPAL · 2028–2035</t>
  </si>
  <si>
    <t xml:space="preserve">Estructura del Flujo de Fondos que los municipios bonaerenses presentan a la Provincia: disponibilidades abiertas en libre y afectada, retenciones de terceros y movimientos financieros.</t>
  </si>
  <si>
    <t xml:space="preserve">I · SALDO INICIAL DE DISPONIBILIDADES</t>
  </si>
  <si>
    <t xml:space="preserve">      Caja y bancos · libre disponibilidad</t>
  </si>
  <si>
    <t xml:space="preserve">      Cuenta 111220000 · fondos con afectación específica</t>
  </si>
  <si>
    <t xml:space="preserve">      Fondos de terceros en poder del Municipio</t>
  </si>
  <si>
    <t xml:space="preserve">Total disponibilidades al inicio</t>
  </si>
  <si>
    <t xml:space="preserve">II · RECURSOS PERCIBIDOS, POR ORIGEN Y PROCEDENCIA</t>
  </si>
  <si>
    <t xml:space="preserve">      11 · Origen municipal — libre disponibilidad</t>
  </si>
  <si>
    <t xml:space="preserve">      11 · Origen municipal — afectados</t>
  </si>
  <si>
    <t xml:space="preserve">      21 · Origen provincial — libre disponibilidad</t>
  </si>
  <si>
    <t xml:space="preserve">      21 · Origen provincial — afectados</t>
  </si>
  <si>
    <t xml:space="preserve">      31 y 41 · Nacional, afectado, y otros orígenes, de libre disponibilidad</t>
  </si>
  <si>
    <t xml:space="preserve">Total recursos percibidos</t>
  </si>
  <si>
    <t xml:space="preserve">III · EROGACIONES PAGADAS</t>
  </si>
  <si>
    <t xml:space="preserve">      Personal, neto de retenciones</t>
  </si>
  <si>
    <t xml:space="preserve">      Bienes y servicios, neto de retenciones</t>
  </si>
  <si>
    <t xml:space="preserve">      Obra pública, neto del fondo de reparo</t>
  </si>
  <si>
    <t xml:space="preserve">      Amortización de la deuda al 31/12/2025</t>
  </si>
  <si>
    <t xml:space="preserve">      Amortización del bono 2026</t>
  </si>
  <si>
    <t xml:space="preserve">Total erogaciones pagadas</t>
  </si>
  <si>
    <t xml:space="preserve">IV · RETENCIONES Y FONDOS DE TERCEROS</t>
  </si>
  <si>
    <t xml:space="preserve">      Retenciones practicadas sobre sueldos</t>
  </si>
  <si>
    <t xml:space="preserve">      Retenciones practicadas a proveedores</t>
  </si>
  <si>
    <t xml:space="preserve">      Fondo de reparo retenido de la obra</t>
  </si>
  <si>
    <t xml:space="preserve">Total retenido en el mes</t>
  </si>
  <si>
    <t xml:space="preserve">      Depósito de retenciones del mes anterior</t>
  </si>
  <si>
    <t xml:space="preserve">Variación neta de fondos de terceros</t>
  </si>
  <si>
    <t xml:space="preserve">Fondos de terceros al cierre</t>
  </si>
  <si>
    <t xml:space="preserve">V · MOVIMIENTOS FINANCIEROS</t>
  </si>
  <si>
    <t xml:space="preserve">      Intereses ganados sobre disponibilidades</t>
  </si>
  <si>
    <t xml:space="preserve">      Emisión de cheques diferidos</t>
  </si>
  <si>
    <t xml:space="preserve">      Pago de cheques diferidos vencidos</t>
  </si>
  <si>
    <t xml:space="preserve">      Nuevo endeudamiento</t>
  </si>
  <si>
    <t xml:space="preserve">Total movimientos financieros</t>
  </si>
  <si>
    <t xml:space="preserve">VI · RESULTADO Y SALDO FINAL</t>
  </si>
  <si>
    <t xml:space="preserve">Flujo neto del mes</t>
  </si>
  <si>
    <t xml:space="preserve">      Disponibilidades libres al cierre</t>
  </si>
  <si>
    <t xml:space="preserve">      Disponibilidades afectadas al cierre (remanente de giro)</t>
  </si>
  <si>
    <t xml:space="preserve">TOTAL DISPONIBILIDADES AL CIERRE</t>
  </si>
  <si>
    <t xml:space="preserve">VII · CONTROLES DE TESORERÍA</t>
  </si>
  <si>
    <t xml:space="preserve">      Caja mínima exigida</t>
  </si>
  <si>
    <t xml:space="preserve">      Alerta de caja</t>
  </si>
  <si>
    <t xml:space="preserve">      Uso de los fondos afectados para gastos corrientes</t>
  </si>
  <si>
    <t xml:space="preserve">      Alerta de uso de afectados</t>
  </si>
  <si>
    <t xml:space="preserve">      Cheques diferidos en circulación</t>
  </si>
  <si>
    <t xml:space="preserve">      Cobertura: disponibilidades sobre un mes de gasto</t>
  </si>
  <si>
    <t xml:space="preserve">VIII · MEMO · CUENTA AHORRO-INVERSIÓN, COMO LA OFICIAL</t>
  </si>
  <si>
    <t xml:space="preserve">      Ingresos corrientes percibidos</t>
  </si>
  <si>
    <t xml:space="preserve">      Gastos corrientes devengados</t>
  </si>
  <si>
    <t xml:space="preserve">III · Ahorro corriente</t>
  </si>
  <si>
    <t xml:space="preserve">VIII · Resultado financiero: sin deuda ni activos financieros, que van debajo de la línea</t>
  </si>
  <si>
    <t xml:space="preserve">Los recursos afectados —Fondo Educativo, fondos sanitarios, tasas con destino específico— van en cuenta separada y sólo pueden aplicarse a su destino. El «uso de los fondos afectados para gastos corrientes» mide cuánto se estaría usando de esa cuenta para gastos corrientes: si aparece, el Municipio se está financiando con dinero que no le corresponde.</t>
  </si>
  <si>
    <t xml:space="preserve">Las retenciones son fondos de terceros: se practican al liquidar y se depositan al mes siguiente. No son ingreso ni gasto, pero pasan por la caja y financian el mes. Por eso van en su propio bloque.</t>
  </si>
  <si>
    <t xml:space="preserve">El fondo de reparo se retiene del certificado de obra y se devuelve a la recepción definitiva. Los cheques diferidos están en cero en el escenario base: subir esa palanca muestra cuánta caja liberan y con qué costo.</t>
  </si>
  <si>
    <t xml:space="preserve">Los saldos iniciales de disponibilidades son ESTIMACIONES: el Municipio no publica la composición de sus cuentas al cierre. Deben reemplazarse por el saldo real al asumir.</t>
  </si>
  <si>
    <t xml:space="preserve">Los fondos afectados se aplican a su destino dentro del mes: la cuenta 111220000 sólo retiene un remanente de giro equivalente a medio mes de recaudación afectada. Si el modelo mostrara acumulación creciente ahí, estaría suponiendo que el Municipio cobra fondos con destino y no los ejecuta.</t>
  </si>
  <si>
    <t xml:space="preserve">GASTOS MENSUALES POR FINALIDAD Y FUNCIÓN · 2028–2035</t>
  </si>
  <si>
    <t xml:space="preserve">Los mismos gastos, vistos por destino. Es la apertura que usa el capítulo 1 del programa.</t>
  </si>
  <si>
    <t xml:space="preserve">DEVENGADO POR FUNCIÓN</t>
  </si>
  <si>
    <t xml:space="preserve">1.2 y 1.7 · Judicial y control de gestión</t>
  </si>
  <si>
    <t xml:space="preserve">4.7 · Comercio, turismo y otros</t>
  </si>
  <si>
    <t xml:space="preserve">Habilitaciones y analítica de seguridad · reasignación</t>
  </si>
  <si>
    <t xml:space="preserve">Contrapartida: mantenimiento y embellecimiento, infraestructura deportiva y arbolado</t>
  </si>
  <si>
    <t xml:space="preserve">TOTAL POR FUNCIÓN</t>
  </si>
  <si>
    <t xml:space="preserve">Memo · salud como % del gasto por función</t>
  </si>
  <si>
    <t xml:space="preserve">Memo · agua y cloaca contra alumbrado (dentro de urbanismo)</t>
  </si>
  <si>
    <t xml:space="preserve">La apertura por función usa la ejecución 2025 de cada una (Supuestos, bloque S) y le suma, en su función de destino, lo que suma empleo y vivienda y cada reasignación; lo que ceden los tres programas de origen va en su propia fila, porque la ejecución no dice en qué función está cada uno. El alumbrado es el 14,67% de Urbanismo según el cuadro 5.</t>
  </si>
  <si>
    <t xml:space="preserve">LA PARTIDA VECINAL · RAMPA Y REPARTO</t>
  </si>
  <si>
    <t xml:space="preserve">La mitad de la obra pública decidida por los vecinos al cuarto año. Sale de bienes de uso, no de fondos nuevos.</t>
  </si>
  <si>
    <t xml:space="preserve">Obra pública total</t>
  </si>
  <si>
    <t xml:space="preserve">% a comisiones vecinales</t>
  </si>
  <si>
    <t xml:space="preserve">Obra decidida por vecinos</t>
  </si>
  <si>
    <t xml:space="preserve">Obra decidida por el Ejecutivo</t>
  </si>
  <si>
    <t xml:space="preserve">Funcionamiento del sistema: 1,5% de la partida, dentro de ella</t>
  </si>
  <si>
    <t xml:space="preserve">REPARTO ENTRE LAS SEIS ZONAS · acumulado</t>
  </si>
  <si>
    <t xml:space="preserve">ZONA</t>
  </si>
  <si>
    <t xml:space="preserve">POBLACIÓN</t>
  </si>
  <si>
    <t xml:space="preserve">ÍNDICE DE NECESIDAD</t>
  </si>
  <si>
    <t xml:space="preserve">PESO</t>
  </si>
  <si>
    <t xml:space="preserve">AÑO 1</t>
  </si>
  <si>
    <t xml:space="preserve">AÑO 2</t>
  </si>
  <si>
    <t xml:space="preserve">AÑO 3</t>
  </si>
  <si>
    <t xml:space="preserve">AÑO 4</t>
  </si>
  <si>
    <t xml:space="preserve">ACUM. 8 AÑOS</t>
  </si>
  <si>
    <t xml:space="preserve">Boulogne Sur Mer</t>
  </si>
  <si>
    <t xml:space="preserve">Béccar</t>
  </si>
  <si>
    <t xml:space="preserve">Martínez</t>
  </si>
  <si>
    <t xml:space="preserve">San Isidro</t>
  </si>
  <si>
    <t xml:space="preserve">Villa Adelina</t>
  </si>
  <si>
    <t xml:space="preserve">Acassuso</t>
  </si>
  <si>
    <t xml:space="preserve">Peso = 50% población + 50% índice de necesidad. El índice mide necesidad en HOGARES: para cada uno de los cuatro indicadores —NBI, sin cloaca, sin gas de red, hacinamiento— toma la parte de San Isidro que está en la zona, y promedia.</t>
  </si>
  <si>
    <t xml:space="preserve">Fuente: Censo 2022 del INDEC por radio censal, agregado por localidad. Población en viviendas particulares: 295.978 personas.</t>
  </si>
  <si>
    <t xml:space="preserve">CUPOS DE FORMACIÓN POR ZONA · EXACTOS A 928 POR EL RESTO MAYOR (5.3)</t>
  </si>
  <si>
    <t xml:space="preserve">Cupos por año, en régimen</t>
  </si>
  <si>
    <t xml:space="preserve">Lo que compran los 2.783,1 M de formación a 3 M por persona</t>
  </si>
  <si>
    <t xml:space="preserve">ÍNDICE</t>
  </si>
  <si>
    <t xml:space="preserve">CUOTA</t>
  </si>
  <si>
    <t xml:space="preserve">ENTERA</t>
  </si>
  <si>
    <t xml:space="preserve">RESTO</t>
  </si>
  <si>
    <t xml:space="preserve">CUPOS</t>
  </si>
  <si>
    <t xml:space="preserve">Cada zona recibe la parte entera de su cuota; las vacantes que faltan para 928 van a los restos mayores. Da Boulogne 315, Béccar 307, Martínez 98, San Isidro 96, Villa Adelina 94 y Acassuso 18.</t>
  </si>
  <si>
    <t xml:space="preserve">PROGRAMAS DEL CAPÍTULO 5 · CURVA DE IMPLEMENTACIÓN</t>
  </si>
  <si>
    <t xml:space="preserve">Lo que el programa suma a 2025 y lo que se reasigna dentro del gasto flexible. La obra vecinal no está acá: no es gasto adicional.</t>
  </si>
  <si>
    <t xml:space="preserve">Curva de implementación</t>
  </si>
  <si>
    <t xml:space="preserve">Año del programa</t>
  </si>
  <si>
    <t xml:space="preserve">Empleo y vivienda · lo que suma a 2025</t>
  </si>
  <si>
    <t xml:space="preserve">Ambiente · reasignación</t>
  </si>
  <si>
    <t xml:space="preserve">Educación · recomposición</t>
  </si>
  <si>
    <t xml:space="preserve">Apoyo escolar · seis sedes</t>
  </si>
  <si>
    <t xml:space="preserve">Inspecciones grabadas: soportes, datos y grabaciones</t>
  </si>
  <si>
    <t xml:space="preserve">Salud · turno digital</t>
  </si>
  <si>
    <t xml:space="preserve">Salud · módulo de los años 1 y 2, del gasto flexible libre</t>
  </si>
  <si>
    <t xml:space="preserve">Contrapartida · reasignación desde el gasto flexible</t>
  </si>
  <si>
    <t xml:space="preserve">Empleo y vivienda · lo que la tabla no cobra y sale del gasto flexible</t>
  </si>
  <si>
    <t xml:space="preserve">TOTAL PROGRAMAS: lo único que suma al gasto</t>
  </si>
  <si>
    <t xml:space="preserve">Sólo empleo y vivienda suman al gasto: se pagan con lo que cobra la tabla nueva, y lo que falta cada año sale del gasto flexible (fila 17). Ambiente, educación, apoyo escolar, las inspecciones grabadas y el módulo de salud se pagan moviendo partidas dentro del gasto flexible: entran en su función de destino y salen de los tres programas que ceden (cuadro 15), así que el gasto total no cambia.</t>
  </si>
  <si>
    <t xml:space="preserve">Ambiente empieza a moverse en el mes 12 y llega al 1,5% en el mes 36, y en el año 1 adelanta 335 M para empezar la costa (5.5); educación se recompone desde el mes 12 (6.4). Apoyo escolar abre dos sedes por año; las inspecciones grabadas compran los soportes el año 1 y pagan datos y grabaciones desde el mes 9: son supuestos de este libro.</t>
  </si>
  <si>
    <t xml:space="preserve">EMPLEO Y VIVIENDA, ABIERTOS (cuadro 34)</t>
  </si>
  <si>
    <t xml:space="preserve">Empleo y vivienda · total del mes</t>
  </si>
  <si>
    <t xml:space="preserve">Empleo: 60%, gasto corriente</t>
  </si>
  <si>
    <t xml:space="preserve">Vivienda y servicios básicos: 40%, gasto de capital</t>
  </si>
  <si>
    <t xml:space="preserve">Empleo · lo que suma al gasto total</t>
  </si>
  <si>
    <t xml:space="preserve">Vivienda · lo que suma al gasto total</t>
  </si>
  <si>
    <t xml:space="preserve">Formación, con la intermediación adentro</t>
  </si>
  <si>
    <t xml:space="preserve">Contratación de desarrollos</t>
  </si>
  <si>
    <t xml:space="preserve">LA FORMACIÓN: DOS INGRESOS POR AÑO, DOS AÑOS CADA UNO</t>
  </si>
  <si>
    <t xml:space="preserve">Entran</t>
  </si>
  <si>
    <t xml:space="preserve">Egresan</t>
  </si>
  <si>
    <t xml:space="preserve">Egresados acumulados</t>
  </si>
  <si>
    <t xml:space="preserve">Pasantes en el Municipio: los primeros seis meses</t>
  </si>
  <si>
    <t xml:space="preserve">Pasantes en empresas de San Isidro: los segundos seis meses</t>
  </si>
  <si>
    <t xml:space="preserve">Margen contra el tope del Municipio</t>
  </si>
  <si>
    <t xml:space="preserve">El año 1 y el 2 la formación usa toda la partida de empleo; desde el 3, el 60%. Cada año entran lo que paga formación dividido por 3 M, mitad en cada ingreso: 231 y 231, 412 y 412, 355 y 356, y 464 y 464. Egresan 24 meses después: 1.286 en el mandato.</t>
  </si>
  <si>
    <t xml:space="preserve">DEUDA CONSOLIDADA Y FLOTANTE</t>
  </si>
  <si>
    <t xml:space="preserve">Sin deuda nueva. La deuda al 31/12/2025 se paga como en el documento (3.5); el bono 2026 va aparte, debajo de la línea.</t>
  </si>
  <si>
    <t xml:space="preserve">Deuda al inicio: lo que queda de la deuda al 31/12/2025 y el bono 2026</t>
  </si>
  <si>
    <t xml:space="preserve">Amortización del mes</t>
  </si>
  <si>
    <t xml:space="preserve">Nuevo endeudamiento</t>
  </si>
  <si>
    <t xml:space="preserve">Deuda consolidada al cierre</t>
  </si>
  <si>
    <t xml:space="preserve">Deuda flotante por rezago de pago · al inicio</t>
  </si>
  <si>
    <t xml:space="preserve">Variación del mes</t>
  </si>
  <si>
    <t xml:space="preserve">Deuda flotante al cierre</t>
  </si>
  <si>
    <t xml:space="preserve">Servicio anual sobre recursos corrientes</t>
  </si>
  <si>
    <t xml:space="preserve">Margen contra el tope del artículo 193 de la Constitución provincial</t>
  </si>
  <si>
    <t xml:space="preserve">La deuda al 31/12/2025 —8.960 M, consolidada y flotante— se paga como en el documento: 3.388 M en 2026 y el resto en partes iguales en 2027, 2028 y 2029. Llega a cero en 2029 (3.5). La flotante que aparece acá es la que genera el rezago de pago de este libro.</t>
  </si>
  <si>
    <t xml:space="preserve">El bono de 30.000 M de agosto de 2026 entra con sus siete cuotas pendientes del 12,5%: febrero, mayo, agosto y noviembre de 2028, y febrero, mayo y agosto de 2029. Va debajo de la línea: no cambia el resultado. Su interés no se proyecta, porque la tasa es nominal y variable (TAMAR más 7) y el modelo está en pesos constantes (3.6).</t>
  </si>
  <si>
    <t xml:space="preserve">LA DEUDA AL 31/12/2025 Y EL BONO 2026, POR SEPARADO</t>
  </si>
  <si>
    <t xml:space="preserve">Deuda al 31/12/2025 · saldo al inicio del mes</t>
  </si>
  <si>
    <t xml:space="preserve">Deuda al 31/12/2025 · amortización del mes</t>
  </si>
  <si>
    <t xml:space="preserve">Deuda al 31/12/2025 · saldo al cierre</t>
  </si>
  <si>
    <t xml:space="preserve">Bono 2026 · capital pendiente al inicio del mes</t>
  </si>
  <si>
    <t xml:space="preserve">Bono 2026 · cuota de capital</t>
  </si>
  <si>
    <t xml:space="preserve">Bono 2026 · capital pendiente al cierre</t>
  </si>
  <si>
    <t xml:space="preserve">RESUMEN ANUAL · CUENTA AHORRO-INVERSIÓN</t>
  </si>
  <si>
    <t xml:space="preserve">Los cuatro años del mandato y los cuatro siguientes, con el programa. Pesos constantes de diciembre de 2025. Ingresos por lo percibido y gastos por lo devengado, como la cuenta oficial.</t>
  </si>
  <si>
    <t xml:space="preserve">Mandato · año 1</t>
  </si>
  <si>
    <t xml:space="preserve">Mandato · año 2</t>
  </si>
  <si>
    <t xml:space="preserve">Mandato · año 3</t>
  </si>
  <si>
    <t xml:space="preserve">Mandato · año 4</t>
  </si>
  <si>
    <t xml:space="preserve">Proyección</t>
  </si>
  <si>
    <t xml:space="preserve">I · INGRESOS CORRIENTES (percibido)</t>
  </si>
  <si>
    <t xml:space="preserve">Origen municipal: tasas, derechos y rentas</t>
  </si>
  <si>
    <t xml:space="preserve">Base de valuación actualizada: lo cobrado</t>
  </si>
  <si>
    <t xml:space="preserve">Origen provincial</t>
  </si>
  <si>
    <t xml:space="preserve">Origen nacional y otros orígenes</t>
  </si>
  <si>
    <t xml:space="preserve">Total ingresos corrientes</t>
  </si>
  <si>
    <t xml:space="preserve">VI · INGRESOS TOTALES</t>
  </si>
  <si>
    <t xml:space="preserve">II · GASTOS CORRIENTES (devengado)</t>
  </si>
  <si>
    <t xml:space="preserve">Personal y aguinaldo</t>
  </si>
  <si>
    <t xml:space="preserve">Empleo: lo que suma el programa</t>
  </si>
  <si>
    <t xml:space="preserve">Total gastos corrientes</t>
  </si>
  <si>
    <t xml:space="preserve">V · GASTOS DE CAPITAL (devengado)</t>
  </si>
  <si>
    <t xml:space="preserve">Bienes de uso: obra pública</t>
  </si>
  <si>
    <t xml:space="preserve">  de la cual, decidida por los vecinos</t>
  </si>
  <si>
    <t xml:space="preserve">Transferencias de capital</t>
  </si>
  <si>
    <t xml:space="preserve">Vivienda: lo que suma el programa</t>
  </si>
  <si>
    <t xml:space="preserve">Total gastos de capital</t>
  </si>
  <si>
    <t xml:space="preserve">VII · GASTOS TOTALES</t>
  </si>
  <si>
    <t xml:space="preserve">RESULTADO</t>
  </si>
  <si>
    <t xml:space="preserve">DEBAJO DE LA LÍNEA: NO ES GASTO EN LA CUENTA OFICIAL</t>
  </si>
  <si>
    <t xml:space="preserve">Amortización de la deuda al 31/12/2025</t>
  </si>
  <si>
    <t xml:space="preserve">Amortización del bono 2026</t>
  </si>
  <si>
    <t xml:space="preserve">Activos financieros</t>
  </si>
  <si>
    <t xml:space="preserve">Flujo de caja del ejercicio</t>
  </si>
  <si>
    <t xml:space="preserve">Saldo de caja al cierre</t>
  </si>
  <si>
    <t xml:space="preserve">Deuda al 31/12/2025 que queda, al cierre</t>
  </si>
  <si>
    <t xml:space="preserve">Bono 2026: capital pendiente al cierre</t>
  </si>
  <si>
    <t xml:space="preserve">Deuda flotante por rezago de pago, al cierre</t>
  </si>
  <si>
    <t xml:space="preserve">INDICADORES</t>
  </si>
  <si>
    <t xml:space="preserve">Percepción sobre lo facturado</t>
  </si>
  <si>
    <t xml:space="preserve">Obra vecinal / obra total</t>
  </si>
  <si>
    <t xml:space="preserve">Obra vecinal / gasto devengado de 2025</t>
  </si>
  <si>
    <t xml:space="preserve">Resultado financiero / ingresos totales</t>
  </si>
  <si>
    <t xml:space="preserve">Rigidez del gasto, en junio</t>
  </si>
  <si>
    <t xml:space="preserve">Salud / gasto por función, en junio</t>
  </si>
  <si>
    <t xml:space="preserve">Empleo y vivienda, total anual</t>
  </si>
  <si>
    <t xml:space="preserve">Lo que el programa suma al gasto</t>
  </si>
  <si>
    <t xml:space="preserve">Egresados de la formación en el año</t>
  </si>
  <si>
    <t xml:space="preserve">CONTROL · EL AÑO BASE REPRODUCE LA EJECUCIÓN 2025</t>
  </si>
  <si>
    <t xml:space="preserve">Ejecución 2025</t>
  </si>
  <si>
    <t xml:space="preserve">El modelo, en 2025</t>
  </si>
  <si>
    <t xml:space="preserve">Diferencia</t>
  </si>
  <si>
    <t xml:space="preserve">I · Ingresos corrientes: los cuatro orígenes, con su estacionalidad</t>
  </si>
  <si>
    <t xml:space="preserve">I · Ingresos corrientes: los rubros de la ejecución</t>
  </si>
  <si>
    <t xml:space="preserve">II · Gastos corrientes: los objetos, con su estacionalidad</t>
  </si>
  <si>
    <t xml:space="preserve">Gasto total por objeto, sin deuda ni activos financieros</t>
  </si>
  <si>
    <t xml:space="preserve">Gasto por función, sin la deuda</t>
  </si>
  <si>
    <t xml:space="preserve">CONTROL · LOS MISMOS NÚMEROS QUE EL DOCUMENTO (cuadro 20, hoja 29 de la A4)</t>
  </si>
  <si>
    <t xml:space="preserve">Documento · resultado si nada cambia (cuadro 20)</t>
  </si>
  <si>
    <t xml:space="preserve">Este libro · resultado si nada cambia</t>
  </si>
  <si>
    <t xml:space="preserve">Documento · resultado con el programa (cuadro 20)</t>
  </si>
  <si>
    <t xml:space="preserve">Este libro · resultado con el programa</t>
  </si>
  <si>
    <t xml:space="preserve">Documento · lo que mejora el resultado con el programa (cuadro 20)</t>
  </si>
  <si>
    <t xml:space="preserve">Este libro · lo que mejora el resultado con el programa</t>
  </si>
  <si>
    <t xml:space="preserve">Las filas azules copian el cuadro 20 del documento (hoja 29 de la A4), en millones redondeados. Las diferencias dan cero mientras los supuestos sean los del documento: si se mueve una palanca, se separan. El cuadro llega a 2031: para 2032 a 2035 el documento no trae cifras para comparar.</t>
  </si>
  <si>
    <t xml:space="preserve">El programa pide 7.225,2 M por año en régimen. La tabla nueva, cobrada como el ABL, da 5.983 M, y lo que falta, 1.242 M, sale del gasto flexible: por eso en 2028 y desde 2031 el resultado es el mismo con y sin programa. En 2029 y 2030 la tabla cobra más de lo que pide la rampa (cuadro 20).</t>
  </si>
  <si>
    <t xml:space="preserve">ESCENARIOS · SI NADA CAMBIA Y CON EL PROGRAMA, Y LA SENSIBILIDAD</t>
  </si>
  <si>
    <t xml:space="preserve">Resultado financiero de cada año, en pesos de diciembre de 2025: es la comparación del cuadro 20. Se recalcula solo al cambiar Supuestos.</t>
  </si>
  <si>
    <t xml:space="preserve">ESCENARIO</t>
  </si>
  <si>
    <t xml:space="preserve">Si nada cambia</t>
  </si>
  <si>
    <t xml:space="preserve">Con el programa: la tabla, y lo que falta del gasto flexible</t>
  </si>
  <si>
    <t xml:space="preserve">Diferencia si el mínimo frena subas</t>
  </si>
  <si>
    <t xml:space="preserve">Los dos escenarios tienen los mismos supuestos de recaudación propia y de coparticipación: lo único que cambia es el programa y lo que cobra la tabla nueva, al 73,97% del ABL. El programa empieza en 2028. En 2028 y desde 2031 la tabla cobra menos de lo que pide el programa y lo que falta sale del gasto flexible: el resultado es el mismo. En 2029 y 2030 cobra más y el resultado mejora. La última fila supone que el mínimo de la tasa frena todas las subas de lotes chicos (3.5).</t>
  </si>
  <si>
    <t xml:space="preserve">SENSIBILIDAD · RESULTADO DE 2031 SI NADA CAMBIA (3.2, 3.6 y gráfico 19)</t>
  </si>
  <si>
    <t xml:space="preserve">VARIABLE</t>
  </si>
  <si>
    <t xml:space="preserve">VARIANTE</t>
  </si>
  <si>
    <t xml:space="preserve">RESULTADO 2031</t>
  </si>
  <si>
    <t xml:space="preserve">CONTRA EL BASE</t>
  </si>
  <si>
    <t xml:space="preserve">LO QUE MUEVE</t>
  </si>
  <si>
    <t xml:space="preserve">Lo que recauda el Municipio: crecimiento real anual</t>
  </si>
  <si>
    <t xml:space="preserve">Un punto menos por año: el mandato termina en déficit (3.6)</t>
  </si>
  <si>
    <t xml:space="preserve">El valor del documento: 1,95%</t>
  </si>
  <si>
    <t xml:space="preserve">La coparticipación: caída real anual</t>
  </si>
  <si>
    <t xml:space="preserve">Lo único de los tres que no depende del Municipio</t>
  </si>
  <si>
    <t xml:space="preserve">Si cae 3,5% por año, 2031 queda en +5.342 M (3.2)</t>
  </si>
  <si>
    <t xml:space="preserve">Qué parte de lo facturado se cobra</t>
  </si>
  <si>
    <t xml:space="preserve">Tres puntos menos: −426 M en 2031 (3.6)</t>
  </si>
  <si>
    <t xml:space="preserve">La de 2025, de todos los ingresos: 89,32%</t>
  </si>
  <si>
    <t xml:space="preserve">Cada variable se mueve sola, con las otras dos en su valor de hoy, como en la sensibilidad del 3.6 del documento. Las variantes azules se pueden cambiar.</t>
  </si>
  <si>
    <t xml:space="preserve">El bono de 2026 no está en la sensibilidad: para 2031 ya está pagado, y su tasa es nominal y variable (3.6).</t>
  </si>
  <si>
    <t xml:space="preserve">LAS VEINTE METAS DEL MANDATO (6.3)</t>
  </si>
  <si>
    <t xml:space="preserve">Las veinte metas del 6.3 del documento (hojas 104 a 106 de la A4): el número de hoy, lo que proyecta este libro donde lo hay y cómo se comprueba cada una.</t>
  </si>
  <si>
    <t xml:space="preserve">META</t>
  </si>
  <si>
    <t xml:space="preserve">EL NÚMERO DE HOY</t>
  </si>
  <si>
    <t xml:space="preserve">AÑO 4 · 2031</t>
  </si>
  <si>
    <t xml:space="preserve">AÑO 8 · 2035</t>
  </si>
  <si>
    <t xml:space="preserve">CÓMO SE COMPRUEBA</t>
  </si>
  <si>
    <t xml:space="preserve">Reducir a la mitad los hogares sin cloacas en Boulogne y Béccar</t>
  </si>
  <si>
    <t xml:space="preserve">4.616 hogares (Censo 2022)</t>
  </si>
  <si>
    <t xml:space="preserve">Depende de que se hagan las obras</t>
  </si>
  <si>
    <t xml:space="preserve">—</t>
  </si>
  <si>
    <t xml:space="preserve">Registro de conexiones y próximo censo</t>
  </si>
  <si>
    <t xml:space="preserve">Llevar el gasto en empleo y vivienda, sumados, a 7.730,9 M por año</t>
  </si>
  <si>
    <t xml:space="preserve">505,7 M (2025)</t>
  </si>
  <si>
    <t xml:space="preserve">Ejecución presupuestaria por programa</t>
  </si>
  <si>
    <t xml:space="preserve">Llevar el gasto en ambiente al 1,5% del presupuesto</t>
  </si>
  <si>
    <t xml:space="preserve">0,4% (2025)</t>
  </si>
  <si>
    <t xml:space="preserve">Gastos por finalidad y función</t>
  </si>
  <si>
    <t xml:space="preserve">50% de la obra pública decidida por comisiones vecinales</t>
  </si>
  <si>
    <t xml:space="preserve">0%</t>
  </si>
  <si>
    <t xml:space="preserve">Ordenanza y ejecución presupuestaria</t>
  </si>
  <si>
    <t xml:space="preserve">Anotar cada gasto del Municipio con la zona donde se hace, para saber cuánto se gastó en cada zona</t>
  </si>
  <si>
    <t xml:space="preserve">El dato no existe: ningún municipio del conurbano norte lo produce</t>
  </si>
  <si>
    <t xml:space="preserve">No la proyecta el modelo</t>
  </si>
  <si>
    <t xml:space="preserve">Cuánto se gastó en cada zona: se le pregunta a la inteligencia artificial del Municipio</t>
  </si>
  <si>
    <t xml:space="preserve">La inteligencia artificial del Municipio funcionando, con la partida vecinal, las asambleas pasadas a texto y cada dato cargado el mismo día en que ocurre</t>
  </si>
  <si>
    <t xml:space="preserve">No existe. Hoy el Municipio publica en PDF y su portal de datos abiertos devuelve error</t>
  </si>
  <si>
    <t xml:space="preserve">Se le pregunta a la inteligencia artificial del Municipio: cualquiera puede hacerlo</t>
  </si>
  <si>
    <t xml:space="preserve">Turno médico por internet en los tres hospitales, el odontológico y los nueve centros de atención primaria. La inteligencia artificial del Municipio lo va a sacar mientras uno conversa, con recordatorio y lista de espera</t>
  </si>
  <si>
    <t xml:space="preserve">Ningún centro de salud para personas tiene turno por internet. El único turno de salud por internet es el de castración de mascotas</t>
  </si>
  <si>
    <t xml:space="preserve">La propia plataforma, consultable por cualquiera</t>
  </si>
  <si>
    <t xml:space="preserve">La inteligencia artificial del Municipio va a comparar sola cada compra de insumos con la compra anterior, con los otros dos hospitales y con lo que cobran los laboratorios y pagan los sanatorios y las obras sociales. Va a avisar cuando algo se salga de lo normal</t>
  </si>
  <si>
    <t xml:space="preserve">Hoy no hay con qué comparar: se publica el total del expediente, no el precio por unidad</t>
  </si>
  <si>
    <t xml:space="preserve">Se le pregunta a la inteligencia artificial del Municipio, con las compras anteriores y los avisos</t>
  </si>
  <si>
    <t xml:space="preserve">Adjudicar por licitación pública el servicio de recolección de residuos, es decir, darle el contrato a la empresa que gane. El pliego se discute antes del llamado</t>
  </si>
  <si>
    <t xml:space="preserve">Desde 2004 se llamó a cuatro licitaciones, y ninguna terminó en un contrato. El mismo grupo da el servicio desde 1998</t>
  </si>
  <si>
    <t xml:space="preserve">Boletín Oficial municipal</t>
  </si>
  <si>
    <t xml:space="preserve">Las cámaras que el Municipio ya tiene van a detectar en el momento los hechos violentos. Cuando alguien denuncie un hecho, también van a servir para ver quién estuvo en el lugar y hacia dónde fue. Cualquiera le va a poder preguntar a la inteligencia artificial del Municipio cuántas órdenes de un juez se recibieron para seguir a una persona con las cámaras, y cuántas se cumplieron</t>
  </si>
  <si>
    <t xml:space="preserve">No hay registro público de que la detección en el momento ni la búsqueda después de un hecho funcionen. Las alertas no se publican</t>
  </si>
  <si>
    <t xml:space="preserve">Se le pregunta a la inteligencia artificial del Municipio: cuánto tarda el patrullero, y las órdenes</t>
  </si>
  <si>
    <t xml:space="preserve">Darle a la dirección de género una partida propia, separada del programa que hoy comparte. Llevar su atención a cada zona, con días fijos, empezando por Boulogne y Béccar</t>
  </si>
  <si>
    <t xml:space="preserve">Género no tiene partida propia. Discapacidad sí, y gastó 65,9 M en 2025, el 0,020% del gasto. La dirección de género tiene una sola sede, en la ciudad de San Isidro</t>
  </si>
  <si>
    <t xml:space="preserve">Estado de ejecución por programa. Los días y lugares de atención se le preguntan a la inteligencia artificial del Municipio</t>
  </si>
  <si>
    <t xml:space="preserve">Un centro de apoyo escolar gratuito en cada una de las seis localidades</t>
  </si>
  <si>
    <t xml:space="preserve">Cinco espacios pequeños de apoyo escolar, sólo en Béccar y Boulogne, con unos cien alumnos. En las otras cuatro localidades, ninguno</t>
  </si>
  <si>
    <t xml:space="preserve">Ejecución por programa. La matrícula por sede se le pregunta a la inteligencia artificial del Municipio</t>
  </si>
  <si>
    <t xml:space="preserve">Llevar la forma de trabajar del Centro de Formación Laboral (CFL) 404 Barrio La Cava, de Béccar, a las seis zonas, con cinco sedes fijas y una sede móvil en Acassuso. Se suma una tecnicatura de la UNSO, que es una carrera universitaria corta, de dos años. En el segundo año, los alumnos trabajan como pasantes: seis meses en el Municipio y seis en una empresa de San Isidro. Desde el mes 27, cada seis meses egresa un grupo de alumnos con un año de trabajo real. Durante todo el mandato egresan 1.286 personas, y cuando la formación funcione completa van a ser 928 por año. La meta es que de 250 a 300 egresados por año consigan empleo pago En esta hoja, la columna del año 4 da los egresados acumulados, y la del año 8, los egresados de ese año.</t>
  </si>
  <si>
    <t xml:space="preserve">Hoy hay una sola sede de formación laboral, la del Barrio La Cava. No se publica cuántos alumnos hay ni cuántos consiguen trabajo. El primer registro que se haga va a dar esos dos números, como punto de partida</t>
  </si>
  <si>
    <t xml:space="preserve">Ejecución por programa y convenios de pasantías. La matrícula por sede se le pregunta a la inteligencia artificial del Municipio, y el empleo, al registro de inserción laboral</t>
  </si>
  <si>
    <t xml:space="preserve">El profesor digital, probado seis meses en los primeros centros de apoyo escolar, medido con pruebas sin inteligencia artificial y con el resultado publicado antes de extenderlo</t>
  </si>
  <si>
    <t xml:space="preserve">No existe: el Municipio no ofrece ningún profesor digital</t>
  </si>
  <si>
    <t xml:space="preserve">El resultado de la prueba se le pregunta a la inteligencia artificial del Municipio</t>
  </si>
  <si>
    <t xml:space="preserve">Cada funcionario responsable va a contestar, dentro del plazo fijado, lo que los vecinos le plantean a la inteligencia artificial del Municipio</t>
  </si>
  <si>
    <t xml:space="preserve">No hay forma pública de saber cuánto tarda el Municipio en responder un reclamo</t>
  </si>
  <si>
    <t xml:space="preserve">Se le pregunta a la inteligencia artificial del Municipio: tema por tema y zona por zona, el plazo y la respuesta</t>
  </si>
  <si>
    <t xml:space="preserve">Cada denuncia de un comerciante por coimas, presiones o amenazas va a tener respuesta. Cuando haya delito, la denuncia va a llegar a la fiscalía</t>
  </si>
  <si>
    <t xml:space="preserve">No existe: el canal es nuevo (5.9)</t>
  </si>
  <si>
    <t xml:space="preserve">Se le pregunta a la inteligencia artificial del Municipio: cuántas denuncias hubo, en qué están y cuántas llegaron a la fiscalía</t>
  </si>
  <si>
    <t xml:space="preserve">Doscientos shows por año, de artistas nuevos de San Isidro. Las bandas tienen prioridad: como máximo, el 10% de los shows son de solistas, y al menos la mitad, de bandas de cuatro músicos o más. Además, espectáculos al aire libre todas las semanas, de lunes a jueves, en los parques y plazas de San Isidro</t>
  </si>
  <si>
    <t xml:space="preserve">En 2026, un solo espectáculo en un día hábil en la costa, según el Municipio</t>
  </si>
  <si>
    <t xml:space="preserve">La agenda se consulta en la inteligencia artificial del Municipio. Cuánta gente va se mide con las cámaras que cuentan cada acceso</t>
  </si>
  <si>
    <t xml:space="preserve">Medir el ruido de motos y colectivos con estaciones móviles, y que cualquiera pueda preguntar qué midieron en su zona</t>
  </si>
  <si>
    <t xml:space="preserve">No se mide, y no hay límites en decibeles para los vehículos que circulan</t>
  </si>
  <si>
    <t xml:space="preserve">Se le pregunta a la inteligencia artificial del Municipio</t>
  </si>
  <si>
    <t xml:space="preserve">Cada asociación inscripta en el Municipio, con su espacio propio en la inteligencia artificial del Municipio</t>
  </si>
  <si>
    <t xml:space="preserve">No existe</t>
  </si>
  <si>
    <t xml:space="preserve">Cuántas asociaciones lo usan: se le pregunta a la inteligencia artificial del Municipio</t>
  </si>
  <si>
    <t xml:space="preserve">Nadie va a ganar dinero por cada multa que se pone. El dinero de las multas va a ir a un fondo de seguridad vial, que no se puede usar para otra cosa</t>
  </si>
  <si>
    <t xml:space="preserve">Hasta 2025, las universidades que operaban las cámaras cobraban un porcentaje de lo recaudado</t>
  </si>
  <si>
    <t xml:space="preserve">Los contratos, en el Boletín Oficial; el fondo, en la ejecución presupuestaria</t>
  </si>
  <si>
    <t xml:space="preserve">Las metas que no proyecta el modelo se comprueban en su fuente: el modelo dice que hay fondos, no que la obra se haga.</t>
  </si>
</sst>
</file>

<file path=xl/styles.xml><?xml version="1.0" encoding="utf-8"?>
<styleSheet xmlns="http://schemas.openxmlformats.org/spreadsheetml/2006/main">
  <numFmts count="16">
    <numFmt numFmtId="164" formatCode="General"/>
    <numFmt numFmtId="165" formatCode="\$#,##0;&quot;($&quot;#,##0\);\-"/>
    <numFmt numFmtId="166" formatCode="0.00%"/>
    <numFmt numFmtId="167" formatCode="0.0"/>
    <numFmt numFmtId="168" formatCode="0.00"/>
    <numFmt numFmtId="169" formatCode="0.0%"/>
    <numFmt numFmtId="170" formatCode="0"/>
    <numFmt numFmtId="171" formatCode="0%"/>
    <numFmt numFmtId="172" formatCode="#,##0;\(#,##0\);\-"/>
    <numFmt numFmtId="173" formatCode="\$#,##0,,&quot;  M&quot;;&quot;($&quot;#,##0,,&quot;) M&quot;;\-"/>
    <numFmt numFmtId="174" formatCode="0.0000"/>
    <numFmt numFmtId="175" formatCode="0.00\x"/>
    <numFmt numFmtId="176" formatCode="#,##0"/>
    <numFmt numFmtId="177" formatCode="0.000000"/>
    <numFmt numFmtId="178" formatCode="0.000"/>
    <numFmt numFmtId="179" formatCode="\$#,##0.0,,&quot;  M&quot;;&quot;($&quot;#,##0.0,,&quot;) M&quot;;\-"/>
  </numFmts>
  <fonts count="27">
    <font>
      <sz val="11"/>
      <color theme="1"/>
      <name val="Calibri"/>
      <family val="2"/>
      <charset val="1"/>
    </font>
    <font>
      <sz val="10"/>
      <name val="Arial"/>
      <family val="0"/>
    </font>
    <font>
      <sz val="10"/>
      <name val="Arial"/>
      <family val="0"/>
    </font>
    <font>
      <sz val="10"/>
      <name val="Arial"/>
      <family val="0"/>
    </font>
    <font>
      <sz val="9"/>
      <name val="Arial"/>
      <family val="0"/>
      <charset val="1"/>
    </font>
    <font>
      <b val="true"/>
      <sz val="15"/>
      <color rgb="FF7C2E23"/>
      <name val="Arial"/>
      <family val="0"/>
      <charset val="1"/>
    </font>
    <font>
      <i val="true"/>
      <sz val="9"/>
      <color rgb="FF6E625A"/>
      <name val="Arial"/>
      <family val="0"/>
      <charset val="1"/>
    </font>
    <font>
      <b val="true"/>
      <sz val="10"/>
      <name val="Arial"/>
      <family val="0"/>
      <charset val="1"/>
    </font>
    <font>
      <sz val="10"/>
      <name val="Arial"/>
      <family val="0"/>
      <charset val="1"/>
    </font>
    <font>
      <sz val="10"/>
      <color rgb="FF0000FF"/>
      <name val="Arial"/>
      <family val="0"/>
      <charset val="1"/>
    </font>
    <font>
      <sz val="10"/>
      <color rgb="FF008000"/>
      <name val="Arial"/>
      <family val="0"/>
      <charset val="1"/>
    </font>
    <font>
      <b val="true"/>
      <sz val="10"/>
      <color rgb="FF7C2E23"/>
      <name val="Arial"/>
      <family val="0"/>
      <charset val="1"/>
    </font>
    <font>
      <i val="true"/>
      <sz val="10"/>
      <name val="Arial"/>
      <family val="0"/>
      <charset val="1"/>
    </font>
    <font>
      <b val="true"/>
      <sz val="13"/>
      <color rgb="FF7C2E23"/>
      <name val="Arial"/>
      <family val="0"/>
      <charset val="1"/>
    </font>
    <font>
      <b val="true"/>
      <sz val="9"/>
      <color rgb="FFFFFFFF"/>
      <name val="Arial"/>
      <family val="0"/>
      <charset val="1"/>
    </font>
    <font>
      <sz val="9"/>
      <color rgb="FF0000FF"/>
      <name val="Arial"/>
      <family val="0"/>
      <charset val="1"/>
    </font>
    <font>
      <sz val="8"/>
      <color rgb="FF6E625A"/>
      <name val="Arial"/>
      <family val="0"/>
      <charset val="1"/>
    </font>
    <font>
      <i val="true"/>
      <sz val="8"/>
      <color rgb="FF6E625A"/>
      <name val="Arial"/>
      <family val="0"/>
      <charset val="1"/>
    </font>
    <font>
      <sz val="9"/>
      <color rgb="FF6E625A"/>
      <name val="Arial"/>
      <family val="0"/>
      <charset val="1"/>
    </font>
    <font>
      <i val="true"/>
      <sz val="9"/>
      <color rgb="FF7C2E23"/>
      <name val="Arial"/>
      <family val="0"/>
      <charset val="1"/>
    </font>
    <font>
      <b val="true"/>
      <sz val="9"/>
      <name val="Arial"/>
      <family val="0"/>
      <charset val="1"/>
    </font>
    <font>
      <b val="true"/>
      <sz val="8"/>
      <color rgb="FFFFFFFF"/>
      <name val="Arial"/>
      <family val="0"/>
      <charset val="1"/>
    </font>
    <font>
      <b val="true"/>
      <sz val="8"/>
      <name val="Arial"/>
      <family val="0"/>
      <charset val="1"/>
    </font>
    <font>
      <sz val="9"/>
      <color rgb="FF008000"/>
      <name val="Arial"/>
      <family val="0"/>
      <charset val="1"/>
    </font>
    <font>
      <b val="true"/>
      <sz val="8"/>
      <color rgb="FF7C2E23"/>
      <name val="Arial"/>
      <family val="0"/>
      <charset val="1"/>
    </font>
    <font>
      <i val="true"/>
      <sz val="8"/>
      <name val="Arial"/>
      <family val="0"/>
      <charset val="1"/>
    </font>
    <font>
      <b val="true"/>
      <sz val="9"/>
      <color rgb="FF008000"/>
      <name val="Arial"/>
      <family val="0"/>
      <charset val="1"/>
    </font>
  </fonts>
  <fills count="6">
    <fill>
      <patternFill patternType="none"/>
    </fill>
    <fill>
      <patternFill patternType="gray125"/>
    </fill>
    <fill>
      <patternFill patternType="solid">
        <fgColor rgb="FFFFFF00"/>
        <bgColor rgb="FFFFFF00"/>
      </patternFill>
    </fill>
    <fill>
      <patternFill patternType="solid">
        <fgColor rgb="FF7C2E23"/>
        <bgColor rgb="FF993366"/>
      </patternFill>
    </fill>
    <fill>
      <patternFill patternType="solid">
        <fgColor rgb="FFEAE0CF"/>
        <bgColor rgb="FFEFE7DA"/>
      </patternFill>
    </fill>
    <fill>
      <patternFill patternType="solid">
        <fgColor rgb="FFEFE7DA"/>
        <bgColor rgb="FFEAE0C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8" fillId="2"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false" applyAlignment="true" applyProtection="false">
      <alignment horizontal="general" vertical="top"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4" fillId="3"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5" fontId="15" fillId="0" borderId="0" xfId="0" applyFont="true" applyBorder="false" applyAlignment="true" applyProtection="false">
      <alignment horizontal="general" vertical="top" textRotation="0" wrapText="false" indent="0" shrinkToFit="false"/>
      <protection locked="true" hidden="false"/>
    </xf>
    <xf numFmtId="164" fontId="16" fillId="0" borderId="0" xfId="0" applyFont="true" applyBorder="false" applyAlignment="true" applyProtection="false">
      <alignment horizontal="general" vertical="top" textRotation="0" wrapText="tru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xf numFmtId="164" fontId="14" fillId="3" borderId="0" xfId="0" applyFont="true" applyBorder="false" applyAlignment="true" applyProtection="false">
      <alignment horizontal="general" vertical="top" textRotation="0" wrapText="false" indent="0" shrinkToFit="false"/>
      <protection locked="true" hidden="false"/>
    </xf>
    <xf numFmtId="164" fontId="14" fillId="3" borderId="0" xfId="0" applyFont="true" applyBorder="false" applyAlignment="true" applyProtection="false">
      <alignment horizontal="general" vertical="bottom" textRotation="0" wrapText="false" indent="0" shrinkToFit="false"/>
      <protection locked="true" hidden="false"/>
    </xf>
    <xf numFmtId="166" fontId="15" fillId="2" borderId="0" xfId="0" applyFont="true" applyBorder="false" applyAlignment="true" applyProtection="false">
      <alignment horizontal="general" vertical="top" textRotation="0" wrapText="false" indent="0" shrinkToFit="false"/>
      <protection locked="true" hidden="false"/>
    </xf>
    <xf numFmtId="166" fontId="4" fillId="0" borderId="0" xfId="0" applyFont="true" applyBorder="false" applyAlignment="true" applyProtection="false">
      <alignment horizontal="general" vertical="top" textRotation="0" wrapText="false" indent="0" shrinkToFit="false"/>
      <protection locked="true" hidden="false"/>
    </xf>
    <xf numFmtId="167" fontId="15" fillId="2" borderId="0" xfId="0" applyFont="true" applyBorder="false" applyAlignment="true" applyProtection="false">
      <alignment horizontal="general" vertical="top" textRotation="0" wrapText="false" indent="0" shrinkToFit="false"/>
      <protection locked="true" hidden="false"/>
    </xf>
    <xf numFmtId="168" fontId="15" fillId="2" borderId="0" xfId="0" applyFont="true" applyBorder="false" applyAlignment="true" applyProtection="false">
      <alignment horizontal="general" vertical="top" textRotation="0" wrapText="false" indent="0" shrinkToFit="false"/>
      <protection locked="true" hidden="false"/>
    </xf>
    <xf numFmtId="169" fontId="15" fillId="2" borderId="0" xfId="0" applyFont="true" applyBorder="false" applyAlignment="true" applyProtection="false">
      <alignment horizontal="general" vertical="top" textRotation="0" wrapText="false" indent="0" shrinkToFit="false"/>
      <protection locked="true" hidden="false"/>
    </xf>
    <xf numFmtId="165" fontId="4" fillId="0" borderId="0" xfId="0" applyFont="true" applyBorder="false" applyAlignment="true" applyProtection="false">
      <alignment horizontal="general" vertical="top" textRotation="0" wrapText="false" indent="0" shrinkToFit="false"/>
      <protection locked="true" hidden="false"/>
    </xf>
    <xf numFmtId="169" fontId="15" fillId="0" borderId="0" xfId="0" applyFont="true" applyBorder="false" applyAlignment="true" applyProtection="false">
      <alignment horizontal="general" vertical="top" textRotation="0" wrapText="false" indent="0" shrinkToFit="false"/>
      <protection locked="true" hidden="false"/>
    </xf>
    <xf numFmtId="165" fontId="18" fillId="0" borderId="0" xfId="0" applyFont="true" applyBorder="false" applyAlignment="true" applyProtection="false">
      <alignment horizontal="general" vertical="top" textRotation="0" wrapText="false" indent="0" shrinkToFit="false"/>
      <protection locked="true" hidden="false"/>
    </xf>
    <xf numFmtId="170" fontId="15" fillId="0" borderId="0" xfId="0" applyFont="true" applyBorder="false" applyAlignment="true" applyProtection="false">
      <alignment horizontal="general" vertical="top"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6" fontId="15" fillId="0" borderId="0" xfId="0" applyFont="true" applyBorder="false" applyAlignment="true" applyProtection="false">
      <alignment horizontal="general" vertical="top" textRotation="0" wrapText="false" indent="0" shrinkToFit="false"/>
      <protection locked="true" hidden="false"/>
    </xf>
    <xf numFmtId="165" fontId="15" fillId="2" borderId="0" xfId="0" applyFont="true" applyBorder="false" applyAlignment="true" applyProtection="false">
      <alignment horizontal="general" vertical="top" textRotation="0" wrapText="false" indent="0" shrinkToFit="false"/>
      <protection locked="true" hidden="false"/>
    </xf>
    <xf numFmtId="164" fontId="4" fillId="3" borderId="0" xfId="0" applyFont="true" applyBorder="false" applyAlignment="true" applyProtection="false">
      <alignment horizontal="general" vertical="bottom" textRotation="0" wrapText="false" indent="0" shrinkToFit="false"/>
      <protection locked="true" hidden="false"/>
    </xf>
    <xf numFmtId="165" fontId="9" fillId="2" borderId="0" xfId="0" applyFont="true" applyBorder="false" applyAlignment="true" applyProtection="false">
      <alignment horizontal="general" vertical="top" textRotation="0" wrapText="false" indent="0" shrinkToFit="false"/>
      <protection locked="true" hidden="false"/>
    </xf>
    <xf numFmtId="166" fontId="9" fillId="2" borderId="0" xfId="0" applyFont="true" applyBorder="false" applyAlignment="true" applyProtection="false">
      <alignment horizontal="general" vertical="top" textRotation="0" wrapText="false" indent="0" shrinkToFit="false"/>
      <protection locked="true" hidden="false"/>
    </xf>
    <xf numFmtId="170" fontId="9" fillId="2" borderId="0" xfId="0" applyFont="true" applyBorder="false" applyAlignment="true" applyProtection="false">
      <alignment horizontal="general" vertical="top" textRotation="0" wrapText="false" indent="0"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71" fontId="15" fillId="0" borderId="0" xfId="0" applyFont="true" applyBorder="false" applyAlignment="true" applyProtection="false">
      <alignment horizontal="general" vertical="top" textRotation="0" wrapText="false" indent="0" shrinkToFit="false"/>
      <protection locked="true" hidden="false"/>
    </xf>
    <xf numFmtId="170" fontId="15" fillId="2" borderId="0" xfId="0" applyFont="true" applyBorder="false" applyAlignment="true" applyProtection="false">
      <alignment horizontal="general" vertical="top" textRotation="0" wrapText="false" indent="0" shrinkToFit="false"/>
      <protection locked="true" hidden="false"/>
    </xf>
    <xf numFmtId="169" fontId="4" fillId="0" borderId="0" xfId="0" applyFont="true" applyBorder="false" applyAlignment="true" applyProtection="false">
      <alignment horizontal="general" vertical="top" textRotation="0" wrapText="false" indent="0" shrinkToFit="false"/>
      <protection locked="true" hidden="false"/>
    </xf>
    <xf numFmtId="172" fontId="15" fillId="0" borderId="0" xfId="0" applyFont="true" applyBorder="false" applyAlignment="true" applyProtection="false">
      <alignment horizontal="general" vertical="top" textRotation="0" wrapText="false" indent="0" shrinkToFit="false"/>
      <protection locked="true" hidden="false"/>
    </xf>
    <xf numFmtId="164" fontId="20" fillId="0" borderId="0" xfId="0" applyFont="true" applyBorder="false" applyAlignment="true" applyProtection="false">
      <alignment horizontal="general" vertical="top" textRotation="0" wrapText="false" indent="0" shrinkToFit="false"/>
      <protection locked="true" hidden="false"/>
    </xf>
    <xf numFmtId="171" fontId="4" fillId="0" borderId="0" xfId="0" applyFont="true" applyBorder="false" applyAlignment="true" applyProtection="false">
      <alignment horizontal="general" vertical="top" textRotation="0" wrapText="fals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8" fontId="15" fillId="0" borderId="0" xfId="0" applyFont="true" applyBorder="false" applyAlignment="true" applyProtection="false">
      <alignment horizontal="general" vertical="top" textRotation="0" wrapText="false" indent="0" shrinkToFit="false"/>
      <protection locked="true" hidden="false"/>
    </xf>
    <xf numFmtId="164" fontId="21" fillId="3" borderId="0" xfId="0" applyFont="true" applyBorder="false" applyAlignment="true" applyProtection="false">
      <alignment horizontal="center" vertical="top" textRotation="0" wrapText="false" indent="0" shrinkToFit="false"/>
      <protection locked="true" hidden="false"/>
    </xf>
    <xf numFmtId="169" fontId="20" fillId="0" borderId="0" xfId="0" applyFont="true" applyBorder="false" applyAlignment="true" applyProtection="false">
      <alignment horizontal="general" vertical="top" textRotation="0" wrapText="false" indent="0" shrinkToFit="false"/>
      <protection locked="true" hidden="false"/>
    </xf>
    <xf numFmtId="164" fontId="21" fillId="3" borderId="0" xfId="0" applyFont="true" applyBorder="false" applyAlignment="true" applyProtection="false">
      <alignment horizontal="general" vertical="top" textRotation="0" wrapText="false" indent="0" shrinkToFit="false"/>
      <protection locked="true" hidden="false"/>
    </xf>
    <xf numFmtId="164" fontId="21" fillId="3" borderId="0" xfId="0" applyFont="true" applyBorder="false" applyAlignment="true" applyProtection="false">
      <alignment horizontal="general" vertical="bottom" textRotation="0" wrapText="false" indent="0" shrinkToFit="false"/>
      <protection locked="true" hidden="false"/>
    </xf>
    <xf numFmtId="164" fontId="20" fillId="4" borderId="0" xfId="0" applyFont="true" applyBorder="false" applyAlignment="true" applyProtection="false">
      <alignment horizontal="general" vertical="top" textRotation="0" wrapText="false" indent="0" shrinkToFit="false"/>
      <protection locked="true" hidden="false"/>
    </xf>
    <xf numFmtId="164" fontId="22" fillId="4" borderId="0" xfId="0" applyFont="true" applyBorder="false" applyAlignment="true" applyProtection="false">
      <alignment horizontal="center" vertical="top" textRotation="0" wrapText="false" indent="0" shrinkToFit="false"/>
      <protection locked="true" hidden="false"/>
    </xf>
    <xf numFmtId="164" fontId="20" fillId="5" borderId="0" xfId="0" applyFont="true" applyBorder="false" applyAlignment="true" applyProtection="false">
      <alignment horizontal="general" vertical="top" textRotation="0" wrapText="false" indent="0" shrinkToFit="false"/>
      <protection locked="true" hidden="false"/>
    </xf>
    <xf numFmtId="173" fontId="4" fillId="0" borderId="0" xfId="0" applyFont="true" applyBorder="false" applyAlignment="true" applyProtection="false">
      <alignment horizontal="general" vertical="top" textRotation="0" wrapText="false" indent="0" shrinkToFit="false"/>
      <protection locked="true" hidden="false"/>
    </xf>
    <xf numFmtId="173" fontId="20" fillId="0" borderId="0" xfId="0" applyFont="true" applyBorder="false" applyAlignment="true" applyProtection="false">
      <alignment horizontal="general" vertical="top" textRotation="0" wrapText="false" indent="0" shrinkToFit="false"/>
      <protection locked="true" hidden="false"/>
    </xf>
    <xf numFmtId="174" fontId="4" fillId="0" borderId="0" xfId="0" applyFont="true" applyBorder="false" applyAlignment="true" applyProtection="false">
      <alignment horizontal="general" vertical="top" textRotation="0" wrapText="false" indent="0" shrinkToFit="false"/>
      <protection locked="true" hidden="false"/>
    </xf>
    <xf numFmtId="173" fontId="20" fillId="4" borderId="0" xfId="0" applyFont="true" applyBorder="false" applyAlignment="true" applyProtection="false">
      <alignment horizontal="general" vertical="top" textRotation="0" wrapText="false" indent="0" shrinkToFit="false"/>
      <protection locked="true" hidden="false"/>
    </xf>
    <xf numFmtId="164" fontId="17" fillId="0" borderId="0" xfId="0" applyFont="true" applyBorder="false" applyAlignment="true" applyProtection="false">
      <alignment horizontal="general" vertical="top" textRotation="0" wrapText="false" indent="0" shrinkToFit="false"/>
      <protection locked="true" hidden="false"/>
    </xf>
    <xf numFmtId="173" fontId="17" fillId="0" borderId="0" xfId="0" applyFont="true" applyBorder="false" applyAlignment="true" applyProtection="false">
      <alignment horizontal="general" vertical="top" textRotation="0" wrapText="false" indent="0" shrinkToFit="false"/>
      <protection locked="true" hidden="false"/>
    </xf>
    <xf numFmtId="166" fontId="17" fillId="0" borderId="0" xfId="0" applyFont="true" applyBorder="false" applyAlignment="true" applyProtection="false">
      <alignment horizontal="general" vertical="top" textRotation="0" wrapText="false" indent="0" shrinkToFit="false"/>
      <protection locked="true" hidden="false"/>
    </xf>
    <xf numFmtId="164" fontId="0" fillId="5" borderId="0" xfId="0" applyFont="false" applyBorder="false" applyAlignment="true" applyProtection="false">
      <alignment horizontal="general" vertical="bottom" textRotation="0" wrapText="false" indent="0" shrinkToFit="false"/>
      <protection locked="true" hidden="false"/>
    </xf>
    <xf numFmtId="164" fontId="23" fillId="0" borderId="0" xfId="0" applyFont="true" applyBorder="false" applyAlignment="true" applyProtection="false">
      <alignment horizontal="general" vertical="top" textRotation="0" wrapText="false" indent="0" shrinkToFit="false"/>
      <protection locked="true" hidden="false"/>
    </xf>
    <xf numFmtId="173" fontId="23" fillId="0" borderId="0" xfId="0" applyFont="true" applyBorder="false" applyAlignment="true" applyProtection="false">
      <alignment horizontal="general" vertical="top" textRotation="0" wrapText="false" indent="0" shrinkToFit="false"/>
      <protection locked="true" hidden="false"/>
    </xf>
    <xf numFmtId="169" fontId="17"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24" fillId="0" borderId="0" xfId="0" applyFont="true" applyBorder="false" applyAlignment="true" applyProtection="false">
      <alignment horizontal="center" vertical="top" textRotation="0" wrapText="false" indent="0" shrinkToFit="false"/>
      <protection locked="true" hidden="false"/>
    </xf>
    <xf numFmtId="175" fontId="4" fillId="0" borderId="0" xfId="0" applyFont="true" applyBorder="false" applyAlignment="true" applyProtection="false">
      <alignment horizontal="general" vertical="top" textRotation="0" wrapText="false" indent="0" shrinkToFit="false"/>
      <protection locked="true" hidden="false"/>
    </xf>
    <xf numFmtId="164" fontId="20" fillId="0" borderId="0" xfId="0" applyFont="true" applyBorder="false" applyAlignment="true" applyProtection="false">
      <alignment horizontal="general" vertical="top" textRotation="0" wrapText="true" indent="0" shrinkToFit="false"/>
      <protection locked="true" hidden="false"/>
    </xf>
    <xf numFmtId="164" fontId="21" fillId="3" borderId="0" xfId="0" applyFont="true" applyBorder="false" applyAlignment="true" applyProtection="false">
      <alignment horizontal="center" vertical="top" textRotation="0" wrapText="true" indent="0" shrinkToFit="false"/>
      <protection locked="true" hidden="false"/>
    </xf>
    <xf numFmtId="176" fontId="15" fillId="0" borderId="0" xfId="0" applyFont="true" applyBorder="false" applyAlignment="true" applyProtection="false">
      <alignment horizontal="general" vertical="top" textRotation="0" wrapText="false" indent="0" shrinkToFit="false"/>
      <protection locked="true" hidden="false"/>
    </xf>
    <xf numFmtId="176" fontId="20" fillId="0" borderId="0" xfId="0" applyFont="true" applyBorder="false" applyAlignment="true" applyProtection="false">
      <alignment horizontal="general" vertical="top" textRotation="0" wrapText="false" indent="0" shrinkToFit="false"/>
      <protection locked="true" hidden="false"/>
    </xf>
    <xf numFmtId="166" fontId="20" fillId="0" borderId="0" xfId="0" applyFont="true" applyBorder="false" applyAlignment="true" applyProtection="false">
      <alignment horizontal="general" vertical="top" textRotation="0" wrapText="false" indent="0" shrinkToFit="false"/>
      <protection locked="true" hidden="false"/>
    </xf>
    <xf numFmtId="177" fontId="23" fillId="0" borderId="0" xfId="0" applyFont="true" applyBorder="false" applyAlignment="true" applyProtection="false">
      <alignment horizontal="general" vertical="top" textRotation="0" wrapText="false" indent="0" shrinkToFit="false"/>
      <protection locked="true" hidden="false"/>
    </xf>
    <xf numFmtId="178" fontId="4" fillId="0" borderId="0" xfId="0" applyFont="true" applyBorder="false" applyAlignment="true" applyProtection="false">
      <alignment horizontal="general" vertical="top" textRotation="0" wrapText="false" indent="0" shrinkToFit="false"/>
      <protection locked="true" hidden="false"/>
    </xf>
    <xf numFmtId="172" fontId="4" fillId="0" borderId="0" xfId="0" applyFont="true" applyBorder="false" applyAlignment="true" applyProtection="false">
      <alignment horizontal="general" vertical="top" textRotation="0" wrapText="false" indent="0" shrinkToFit="false"/>
      <protection locked="true" hidden="false"/>
    </xf>
    <xf numFmtId="172" fontId="20" fillId="0" borderId="0" xfId="0" applyFont="true" applyBorder="false" applyAlignment="true" applyProtection="false">
      <alignment horizontal="general" vertical="top" textRotation="0" wrapText="false" indent="0" shrinkToFit="false"/>
      <protection locked="true" hidden="false"/>
    </xf>
    <xf numFmtId="178" fontId="20" fillId="4" borderId="0" xfId="0" applyFont="true" applyBorder="false" applyAlignment="true" applyProtection="false">
      <alignment horizontal="general" vertical="top" textRotation="0" wrapText="false" indent="0" shrinkToFit="false"/>
      <protection locked="true" hidden="false"/>
    </xf>
    <xf numFmtId="172" fontId="20" fillId="4" borderId="0" xfId="0" applyFont="true" applyBorder="false" applyAlignment="true" applyProtection="false">
      <alignment horizontal="general" vertical="top" textRotation="0" wrapText="false" indent="0" shrinkToFit="false"/>
      <protection locked="true" hidden="false"/>
    </xf>
    <xf numFmtId="170" fontId="4" fillId="0" borderId="0" xfId="0" applyFont="true" applyBorder="false" applyAlignment="true" applyProtection="false">
      <alignment horizontal="general" vertical="top" textRotation="0" wrapText="false" indent="0" shrinkToFit="false"/>
      <protection locked="true" hidden="false"/>
    </xf>
    <xf numFmtId="173" fontId="15" fillId="0" borderId="0" xfId="0" applyFont="true" applyBorder="false" applyAlignment="true" applyProtection="false">
      <alignment horizontal="general" vertical="top"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25" fillId="4" borderId="0" xfId="0" applyFont="true" applyBorder="false" applyAlignment="true" applyProtection="false">
      <alignment horizontal="center" vertical="top" textRotation="0" wrapText="false" indent="0" shrinkToFit="false"/>
      <protection locked="true" hidden="false"/>
    </xf>
    <xf numFmtId="164" fontId="25" fillId="4" borderId="0" xfId="0" applyFont="true" applyBorder="false" applyAlignment="true" applyProtection="false">
      <alignment horizontal="center" vertical="top" textRotation="0" wrapText="true" indent="0" shrinkToFit="false"/>
      <protection locked="true" hidden="false"/>
    </xf>
    <xf numFmtId="166" fontId="23" fillId="0" borderId="0" xfId="0" applyFont="true" applyBorder="false" applyAlignment="true" applyProtection="false">
      <alignment horizontal="general" vertical="top" textRotation="0" wrapText="false" indent="0" shrinkToFit="false"/>
      <protection locked="true" hidden="false"/>
    </xf>
    <xf numFmtId="169" fontId="23" fillId="0" borderId="0" xfId="0" applyFont="true" applyBorder="false" applyAlignment="true" applyProtection="false">
      <alignment horizontal="general" vertical="top" textRotation="0" wrapText="false" indent="0" shrinkToFit="false"/>
      <protection locked="true" hidden="false"/>
    </xf>
    <xf numFmtId="172" fontId="23" fillId="0" borderId="0" xfId="0" applyFont="true" applyBorder="false" applyAlignment="true" applyProtection="false">
      <alignment horizontal="general" vertical="top" textRotation="0" wrapText="false" indent="0" shrinkToFit="false"/>
      <protection locked="true" hidden="false"/>
    </xf>
    <xf numFmtId="164" fontId="20" fillId="5" borderId="0" xfId="0" applyFont="true" applyBorder="false" applyAlignment="true" applyProtection="false">
      <alignment horizontal="general" vertical="top" textRotation="0" wrapText="true" indent="0" shrinkToFit="false"/>
      <protection locked="true" hidden="false"/>
    </xf>
    <xf numFmtId="165" fontId="20" fillId="0" borderId="0" xfId="0" applyFont="true" applyBorder="false" applyAlignment="true" applyProtection="false">
      <alignment horizontal="general" vertical="top"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73" fontId="26" fillId="0" borderId="0" xfId="0" applyFont="true" applyBorder="false" applyAlignment="true" applyProtection="false">
      <alignment horizontal="general" vertical="top" textRotation="0" wrapText="false" indent="0" shrinkToFit="false"/>
      <protection locked="true" hidden="false"/>
    </xf>
    <xf numFmtId="173" fontId="26" fillId="0" borderId="0" xfId="0" applyFont="true" applyBorder="false" applyAlignment="true" applyProtection="false">
      <alignment horizontal="general" vertical="top" textRotation="0" wrapText="true" indent="0" shrinkToFit="false"/>
      <protection locked="true" hidden="false"/>
    </xf>
    <xf numFmtId="179" fontId="4" fillId="0" borderId="0" xfId="0" applyFont="true" applyBorder="false" applyAlignment="true" applyProtection="false">
      <alignment horizontal="general" vertical="top" textRotation="0" wrapText="false" indent="0" shrinkToFit="false"/>
      <protection locked="true" hidden="false"/>
    </xf>
    <xf numFmtId="179" fontId="4" fillId="0" borderId="0" xfId="0" applyFont="true" applyBorder="false" applyAlignment="true" applyProtection="false">
      <alignment horizontal="general" vertical="top" textRotation="0" wrapText="true" indent="0" shrinkToFit="false"/>
      <protection locked="true" hidden="false"/>
    </xf>
    <xf numFmtId="164" fontId="20" fillId="5" borderId="0"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center" vertical="top" textRotation="0" wrapText="true" indent="0" shrinkToFit="false"/>
      <protection locked="true" hidden="false"/>
    </xf>
    <xf numFmtId="173" fontId="23" fillId="0" borderId="0" xfId="0" applyFont="true" applyBorder="false" applyAlignment="true" applyProtection="false">
      <alignment horizontal="center" vertical="top" textRotation="0" wrapText="false" indent="0" shrinkToFit="false"/>
      <protection locked="true" hidden="false"/>
    </xf>
    <xf numFmtId="169" fontId="23" fillId="0" borderId="0" xfId="0" applyFont="true" applyBorder="false" applyAlignment="true" applyProtection="false">
      <alignment horizontal="center" vertical="top" textRotation="0" wrapText="false" indent="0" shrinkToFit="false"/>
      <protection locked="true" hidden="false"/>
    </xf>
    <xf numFmtId="170" fontId="23" fillId="0" borderId="0" xfId="0" applyFont="true" applyBorder="false" applyAlignment="true" applyProtection="false">
      <alignment horizontal="center" vertical="top" textRotation="0" wrapText="false" indent="0" shrinkToFit="false"/>
      <protection locked="true" hidden="false"/>
    </xf>
    <xf numFmtId="172" fontId="23" fillId="0" borderId="0" xfId="0" applyFont="true" applyBorder="fals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4C7C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4863A"/>
      <rgbColor rgb="FF800080"/>
      <rgbColor rgb="FF008080"/>
      <rgbColor rgb="FFC0C0C0"/>
      <rgbColor rgb="FF5F7057"/>
      <rgbColor rgb="FF9999FF"/>
      <rgbColor rgb="FF993366"/>
      <rgbColor rgb="FFEFE7DA"/>
      <rgbColor rgb="FFCCFFFF"/>
      <rgbColor rgb="FF660066"/>
      <rgbColor rgb="FFDB6B4B"/>
      <rgbColor rgb="FF0066CC"/>
      <rgbColor rgb="FFEAE0C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4C7C3"/>
      <rgbColor rgb="FF3366FF"/>
      <rgbColor rgb="FF33CCCC"/>
      <rgbColor rgb="FF99CC00"/>
      <rgbColor rgb="FFFFCC00"/>
      <rgbColor rgb="FFFF9900"/>
      <rgbColor rgb="FFFF6600"/>
      <rgbColor rgb="FF6E625A"/>
      <rgbColor rgb="FF969696"/>
      <rgbColor rgb="FF003366"/>
      <rgbColor rgb="FF339966"/>
      <rgbColor rgb="FF003300"/>
      <rgbColor rgb="FF333300"/>
      <rgbColor rgb="FF7C2E23"/>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C2E23"/>
    <pageSetUpPr fitToPage="false"/>
  </sheetPr>
  <dimension ref="A1:C5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2"/>
    <col collapsed="false" customWidth="true" hidden="false" outlineLevel="0" max="3" min="3" style="1" width="110"/>
  </cols>
  <sheetData>
    <row r="1" customFormat="false" ht="15" hidden="false" customHeight="false" outlineLevel="0" collapsed="false">
      <c r="A1" s="2"/>
      <c r="B1" s="2"/>
      <c r="C1" s="2"/>
    </row>
    <row r="2" customFormat="false" ht="18" hidden="false" customHeight="true" outlineLevel="0" collapsed="false">
      <c r="A2" s="2"/>
      <c r="B2" s="3" t="s">
        <v>0</v>
      </c>
      <c r="C2" s="2"/>
    </row>
    <row r="3" customFormat="false" ht="15" hidden="false" customHeight="true" outlineLevel="0" collapsed="false">
      <c r="A3" s="2"/>
      <c r="B3" s="4" t="s">
        <v>1</v>
      </c>
      <c r="C3" s="2"/>
    </row>
    <row r="4" customFormat="false" ht="15" hidden="false" customHeight="false" outlineLevel="0" collapsed="false">
      <c r="A4" s="2"/>
      <c r="B4" s="2"/>
      <c r="C4" s="2"/>
    </row>
    <row r="5" customFormat="false" ht="42" hidden="false" customHeight="true" outlineLevel="0" collapsed="false">
      <c r="A5" s="2"/>
      <c r="B5" s="5" t="s">
        <v>2</v>
      </c>
      <c r="C5" s="6" t="s">
        <v>3</v>
      </c>
    </row>
    <row r="6" customFormat="false" ht="17.25" hidden="false" customHeight="true" outlineLevel="0" collapsed="false">
      <c r="A6" s="2"/>
      <c r="B6" s="5" t="s">
        <v>4</v>
      </c>
      <c r="C6" s="6" t="s">
        <v>5</v>
      </c>
    </row>
    <row r="7" customFormat="false" ht="42" hidden="false" customHeight="true" outlineLevel="0" collapsed="false">
      <c r="A7" s="2"/>
      <c r="B7" s="5" t="s">
        <v>6</v>
      </c>
      <c r="C7" s="6" t="s">
        <v>7</v>
      </c>
    </row>
    <row r="8" customFormat="false" ht="30" hidden="false" customHeight="true" outlineLevel="0" collapsed="false">
      <c r="A8" s="2"/>
      <c r="B8" s="5" t="s">
        <v>8</v>
      </c>
      <c r="C8" s="6" t="s">
        <v>9</v>
      </c>
    </row>
    <row r="9" customFormat="false" ht="42" hidden="false" customHeight="true" outlineLevel="0" collapsed="false">
      <c r="A9" s="2"/>
      <c r="B9" s="5" t="s">
        <v>10</v>
      </c>
      <c r="C9" s="6" t="s">
        <v>11</v>
      </c>
    </row>
    <row r="10" customFormat="false" ht="42" hidden="false" customHeight="true" outlineLevel="0" collapsed="false">
      <c r="A10" s="2"/>
      <c r="B10" s="5" t="s">
        <v>12</v>
      </c>
      <c r="C10" s="6" t="s">
        <v>13</v>
      </c>
    </row>
    <row r="11" customFormat="false" ht="67.5" hidden="false" customHeight="true" outlineLevel="0" collapsed="false">
      <c r="A11" s="2"/>
      <c r="B11" s="5" t="s">
        <v>14</v>
      </c>
      <c r="C11" s="6" t="s">
        <v>15</v>
      </c>
    </row>
    <row r="12" customFormat="false" ht="129.75" hidden="false" customHeight="true" outlineLevel="0" collapsed="false">
      <c r="A12" s="2"/>
      <c r="B12" s="7" t="s">
        <v>16</v>
      </c>
      <c r="C12" s="6" t="s">
        <v>17</v>
      </c>
    </row>
    <row r="13" customFormat="false" ht="30" hidden="false" customHeight="true" outlineLevel="0" collapsed="false">
      <c r="A13" s="2"/>
      <c r="B13" s="5" t="s">
        <v>18</v>
      </c>
      <c r="C13" s="6" t="s">
        <v>19</v>
      </c>
    </row>
    <row r="14" customFormat="false" ht="42" hidden="false" customHeight="true" outlineLevel="0" collapsed="false">
      <c r="A14" s="2"/>
      <c r="B14" s="5" t="s">
        <v>20</v>
      </c>
      <c r="C14" s="6" t="s">
        <v>21</v>
      </c>
    </row>
    <row r="15" customFormat="false" ht="42" hidden="false" customHeight="true" outlineLevel="0" collapsed="false">
      <c r="A15" s="2"/>
      <c r="B15" s="5" t="s">
        <v>22</v>
      </c>
      <c r="C15" s="6" t="s">
        <v>23</v>
      </c>
    </row>
    <row r="16" customFormat="false" ht="15" hidden="false" customHeight="false" outlineLevel="0" collapsed="false">
      <c r="A16" s="2"/>
      <c r="B16" s="2"/>
      <c r="C16" s="2"/>
    </row>
    <row r="17" customFormat="false" ht="15" hidden="false" customHeight="false" outlineLevel="0" collapsed="false">
      <c r="A17" s="2"/>
      <c r="B17" s="5" t="s">
        <v>24</v>
      </c>
      <c r="C17" s="8" t="s">
        <v>25</v>
      </c>
    </row>
    <row r="18" customFormat="false" ht="15" hidden="false" customHeight="false" outlineLevel="0" collapsed="false">
      <c r="A18" s="2"/>
      <c r="B18" s="9"/>
      <c r="C18" s="10" t="s">
        <v>26</v>
      </c>
    </row>
    <row r="19" customFormat="false" ht="15" hidden="false" customHeight="false" outlineLevel="0" collapsed="false">
      <c r="A19" s="2"/>
      <c r="B19" s="9"/>
      <c r="C19" s="11" t="s">
        <v>27</v>
      </c>
    </row>
    <row r="20" customFormat="false" ht="15" hidden="false" customHeight="false" outlineLevel="0" collapsed="false">
      <c r="A20" s="2"/>
      <c r="B20" s="9"/>
      <c r="C20" s="12" t="s">
        <v>28</v>
      </c>
    </row>
    <row r="21" customFormat="false" ht="15" hidden="false" customHeight="false" outlineLevel="0" collapsed="false">
      <c r="A21" s="2"/>
      <c r="B21" s="9"/>
      <c r="C21" s="9"/>
    </row>
    <row r="22" customFormat="false" ht="15" hidden="false" customHeight="false" outlineLevel="0" collapsed="false">
      <c r="A22" s="2"/>
      <c r="B22" s="5" t="s">
        <v>29</v>
      </c>
      <c r="C22" s="9"/>
    </row>
    <row r="23" customFormat="false" ht="17.25" hidden="false" customHeight="true" outlineLevel="0" collapsed="false">
      <c r="A23" s="2"/>
      <c r="B23" s="13" t="s">
        <v>30</v>
      </c>
      <c r="C23" s="6" t="s">
        <v>31</v>
      </c>
    </row>
    <row r="24" customFormat="false" ht="17.25" hidden="false" customHeight="true" outlineLevel="0" collapsed="false">
      <c r="A24" s="2"/>
      <c r="B24" s="13" t="s">
        <v>32</v>
      </c>
      <c r="C24" s="6" t="s">
        <v>33</v>
      </c>
    </row>
    <row r="25" customFormat="false" ht="17.25" hidden="false" customHeight="true" outlineLevel="0" collapsed="false">
      <c r="A25" s="2"/>
      <c r="B25" s="13" t="s">
        <v>34</v>
      </c>
      <c r="C25" s="6" t="s">
        <v>35</v>
      </c>
    </row>
    <row r="26" customFormat="false" ht="17.25" hidden="false" customHeight="true" outlineLevel="0" collapsed="false">
      <c r="A26" s="2"/>
      <c r="B26" s="13" t="s">
        <v>36</v>
      </c>
      <c r="C26" s="6" t="s">
        <v>37</v>
      </c>
    </row>
    <row r="27" customFormat="false" ht="17.25" hidden="false" customHeight="true" outlineLevel="0" collapsed="false">
      <c r="A27" s="2"/>
      <c r="B27" s="13" t="s">
        <v>38</v>
      </c>
      <c r="C27" s="6" t="s">
        <v>39</v>
      </c>
    </row>
    <row r="28" customFormat="false" ht="17.25" hidden="false" customHeight="true" outlineLevel="0" collapsed="false">
      <c r="A28" s="2"/>
      <c r="B28" s="13" t="s">
        <v>40</v>
      </c>
      <c r="C28" s="6" t="s">
        <v>41</v>
      </c>
    </row>
    <row r="29" customFormat="false" ht="17.25" hidden="false" customHeight="true" outlineLevel="0" collapsed="false">
      <c r="A29" s="2"/>
      <c r="B29" s="13" t="s">
        <v>42</v>
      </c>
      <c r="C29" s="6" t="s">
        <v>43</v>
      </c>
    </row>
    <row r="30" customFormat="false" ht="17.25" hidden="false" customHeight="true" outlineLevel="0" collapsed="false">
      <c r="A30" s="2"/>
      <c r="B30" s="13" t="s">
        <v>44</v>
      </c>
      <c r="C30" s="6" t="s">
        <v>45</v>
      </c>
    </row>
    <row r="31" customFormat="false" ht="30" hidden="false" customHeight="true" outlineLevel="0" collapsed="false">
      <c r="A31" s="2"/>
      <c r="B31" s="13" t="s">
        <v>46</v>
      </c>
      <c r="C31" s="6" t="s">
        <v>47</v>
      </c>
    </row>
    <row r="32" customFormat="false" ht="17.25" hidden="false" customHeight="true" outlineLevel="0" collapsed="false">
      <c r="A32" s="2"/>
      <c r="B32" s="13" t="s">
        <v>48</v>
      </c>
      <c r="C32" s="6" t="s">
        <v>49</v>
      </c>
    </row>
    <row r="33" customFormat="false" ht="17.25" hidden="false" customHeight="true" outlineLevel="0" collapsed="false">
      <c r="A33" s="2"/>
      <c r="B33" s="13" t="s">
        <v>50</v>
      </c>
      <c r="C33" s="6" t="s">
        <v>51</v>
      </c>
    </row>
    <row r="34" customFormat="false" ht="17.25" hidden="false" customHeight="true" outlineLevel="0" collapsed="false">
      <c r="A34" s="2"/>
      <c r="B34" s="13" t="s">
        <v>52</v>
      </c>
      <c r="C34" s="6" t="s">
        <v>53</v>
      </c>
    </row>
    <row r="35" customFormat="false" ht="15" hidden="false" customHeight="false" outlineLevel="0" collapsed="false">
      <c r="A35" s="2"/>
      <c r="B35" s="2"/>
      <c r="C35" s="14"/>
    </row>
    <row r="36" customFormat="false" ht="30" hidden="false" customHeight="true" outlineLevel="0" collapsed="false">
      <c r="A36" s="2"/>
      <c r="B36" s="2"/>
      <c r="C36" s="15" t="s">
        <v>54</v>
      </c>
    </row>
    <row r="37" customFormat="false" ht="30" hidden="false" customHeight="true" outlineLevel="0" collapsed="false">
      <c r="A37" s="2"/>
      <c r="B37" s="2"/>
      <c r="C37" s="14"/>
    </row>
    <row r="38" customFormat="false" ht="15" hidden="false" customHeight="false" outlineLevel="0" collapsed="false">
      <c r="A38" s="2"/>
      <c r="B38" s="2"/>
      <c r="C38" s="2"/>
    </row>
    <row r="39" customFormat="false" ht="15" hidden="false" customHeight="false" outlineLevel="0" collapsed="false">
      <c r="A39" s="2"/>
      <c r="B39" s="2"/>
      <c r="C39" s="2"/>
    </row>
    <row r="40" customFormat="false" ht="15" hidden="false" customHeight="false" outlineLevel="0" collapsed="false">
      <c r="A40" s="2"/>
      <c r="B40" s="2"/>
      <c r="C40" s="2"/>
    </row>
    <row r="41" customFormat="false" ht="15" hidden="false" customHeight="false" outlineLevel="0" collapsed="false">
      <c r="A41" s="2"/>
      <c r="B41" s="2"/>
      <c r="C41" s="2"/>
    </row>
    <row r="42" customFormat="false" ht="15" hidden="false" customHeight="false" outlineLevel="0" collapsed="false">
      <c r="A42" s="2"/>
      <c r="B42" s="2"/>
      <c r="C42" s="2"/>
    </row>
    <row r="43" customFormat="false" ht="15" hidden="false" customHeight="false" outlineLevel="0" collapsed="false">
      <c r="A43" s="2"/>
      <c r="B43" s="2"/>
      <c r="C43" s="2"/>
    </row>
    <row r="44" customFormat="false" ht="15" hidden="false" customHeight="false" outlineLevel="0" collapsed="false">
      <c r="A44" s="2"/>
      <c r="B44" s="2"/>
      <c r="C44" s="2"/>
    </row>
    <row r="45" customFormat="false" ht="15" hidden="false" customHeight="false" outlineLevel="0" collapsed="false">
      <c r="A45" s="2"/>
      <c r="B45" s="2"/>
      <c r="C45" s="2"/>
    </row>
    <row r="46" customFormat="false" ht="15" hidden="false" customHeight="false" outlineLevel="0" collapsed="false">
      <c r="A46" s="2"/>
      <c r="B46" s="2"/>
      <c r="C46" s="2"/>
    </row>
    <row r="47" customFormat="false" ht="15" hidden="false" customHeight="false" outlineLevel="0" collapsed="false">
      <c r="A47" s="2"/>
      <c r="B47" s="2"/>
      <c r="C47" s="2"/>
    </row>
    <row r="48" customFormat="false" ht="15" hidden="false" customHeight="false" outlineLevel="0" collapsed="false">
      <c r="A48" s="2"/>
      <c r="B48" s="2"/>
      <c r="C48" s="2"/>
    </row>
    <row r="49" customFormat="false" ht="15" hidden="false" customHeight="false" outlineLevel="0" collapsed="false">
      <c r="A49" s="2"/>
      <c r="B49" s="2"/>
      <c r="C49" s="2"/>
    </row>
    <row r="50" customFormat="false" ht="15" hidden="false" customHeight="false" outlineLevel="0" collapsed="false">
      <c r="A50" s="2"/>
      <c r="B50" s="2"/>
      <c r="C50" s="2"/>
    </row>
    <row r="51" customFormat="false" ht="15" hidden="false" customHeight="false" outlineLevel="0" collapsed="false">
      <c r="A51" s="2"/>
      <c r="B51" s="2"/>
      <c r="C51" s="2"/>
    </row>
    <row r="52" customFormat="false" ht="15" hidden="false" customHeight="false" outlineLevel="0" collapsed="false">
      <c r="A52" s="2"/>
      <c r="B52" s="2"/>
      <c r="C52" s="2"/>
    </row>
    <row r="53" customFormat="false" ht="15" hidden="false" customHeight="false" outlineLevel="0" collapsed="false">
      <c r="A53" s="2"/>
      <c r="B53" s="2"/>
      <c r="C53" s="2"/>
    </row>
    <row r="54" customFormat="false" ht="15" hidden="false" customHeight="false" outlineLevel="0" collapsed="false">
      <c r="A54" s="2"/>
      <c r="B54" s="2"/>
      <c r="C54" s="2"/>
    </row>
    <row r="55" customFormat="false" ht="15" hidden="false" customHeight="false" outlineLevel="0" collapsed="false">
      <c r="A55" s="2"/>
      <c r="B55" s="2"/>
      <c r="C55" s="2"/>
    </row>
    <row r="56" customFormat="false" ht="15" hidden="false" customHeight="false" outlineLevel="0" collapsed="false">
      <c r="A56" s="2"/>
      <c r="B56" s="2"/>
      <c r="C56" s="2"/>
    </row>
    <row r="57" customFormat="false" ht="15" hidden="false" customHeight="false" outlineLevel="0" collapsed="false">
      <c r="A57" s="2"/>
      <c r="B57" s="2"/>
      <c r="C57" s="2"/>
    </row>
    <row r="58" customFormat="false" ht="15" hidden="false" customHeight="false" outlineLevel="0" collapsed="false">
      <c r="A58" s="2"/>
      <c r="B58" s="2"/>
      <c r="C58" s="2"/>
    </row>
    <row r="59" customFormat="false" ht="15" hidden="false" customHeight="false" outlineLevel="0" collapsed="false">
      <c r="A59" s="2"/>
      <c r="B59" s="2"/>
      <c r="C59"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4863A"/>
    <pageSetUpPr fitToPage="false"/>
  </sheetPr>
  <dimension ref="B2:E3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54"/>
    <col collapsed="false" customWidth="true" hidden="false" outlineLevel="0" max="3" min="3" style="1" width="18"/>
    <col collapsed="false" customWidth="true" hidden="false" outlineLevel="0" max="4" min="4" style="1" width="10"/>
    <col collapsed="false" customWidth="true" hidden="false" outlineLevel="0" max="5" min="5" style="1" width="80"/>
  </cols>
  <sheetData>
    <row r="2" customFormat="false" ht="15.75" hidden="false" customHeight="true" outlineLevel="0" collapsed="false">
      <c r="B2" s="16" t="s">
        <v>55</v>
      </c>
    </row>
    <row r="3" customFormat="false" ht="15.75" hidden="false" customHeight="true" outlineLevel="0" collapsed="false">
      <c r="B3" s="17" t="s">
        <v>56</v>
      </c>
      <c r="C3" s="17"/>
      <c r="D3" s="17"/>
      <c r="E3" s="17"/>
    </row>
    <row r="5" customFormat="false" ht="15.75" hidden="false" customHeight="true" outlineLevel="0" collapsed="false">
      <c r="B5" s="18" t="s">
        <v>57</v>
      </c>
      <c r="C5" s="18"/>
      <c r="D5" s="18"/>
      <c r="E5" s="18"/>
    </row>
    <row r="6" customFormat="false" ht="24.75" hidden="false" customHeight="true" outlineLevel="0" collapsed="false">
      <c r="B6" s="19" t="s">
        <v>58</v>
      </c>
      <c r="C6" s="20" t="n">
        <v>85379936366.1</v>
      </c>
      <c r="E6" s="21" t="s">
        <v>59</v>
      </c>
    </row>
    <row r="7" customFormat="false" ht="15" hidden="false" customHeight="true" outlineLevel="0" collapsed="false">
      <c r="B7" s="19" t="s">
        <v>60</v>
      </c>
      <c r="C7" s="20" t="n">
        <v>85379936366.1</v>
      </c>
      <c r="E7" s="21" t="s">
        <v>61</v>
      </c>
    </row>
    <row r="8" customFormat="false" ht="24.75" hidden="false" customHeight="true" outlineLevel="0" collapsed="false">
      <c r="B8" s="19" t="s">
        <v>62</v>
      </c>
      <c r="C8" s="20" t="n">
        <v>231353461519.9</v>
      </c>
      <c r="E8" s="21" t="s">
        <v>63</v>
      </c>
    </row>
    <row r="9" customFormat="false" ht="15" hidden="false" customHeight="true" outlineLevel="0" collapsed="false">
      <c r="B9" s="19" t="s">
        <v>64</v>
      </c>
      <c r="C9" s="20" t="n">
        <v>195359312352.53</v>
      </c>
      <c r="E9" s="21" t="s">
        <v>65</v>
      </c>
    </row>
    <row r="10" customFormat="false" ht="15" hidden="false" customHeight="true" outlineLevel="0" collapsed="false">
      <c r="B10" s="19" t="s">
        <v>66</v>
      </c>
      <c r="C10" s="20" t="n">
        <v>10579672550.98</v>
      </c>
      <c r="E10" s="21" t="s">
        <v>67</v>
      </c>
    </row>
    <row r="11" customFormat="false" ht="15" hidden="false" customHeight="true" outlineLevel="0" collapsed="false">
      <c r="B11" s="19" t="s">
        <v>68</v>
      </c>
      <c r="C11" s="20" t="n">
        <v>9835743866.1</v>
      </c>
      <c r="E11" s="21" t="s">
        <v>69</v>
      </c>
    </row>
    <row r="12" customFormat="false" ht="15" hidden="false" customHeight="true" outlineLevel="0" collapsed="false">
      <c r="B12" s="19" t="s">
        <v>70</v>
      </c>
      <c r="C12" s="20" t="n">
        <v>2030100797.22</v>
      </c>
      <c r="E12" s="21" t="s">
        <v>71</v>
      </c>
    </row>
    <row r="14" customFormat="false" ht="15.75" hidden="false" customHeight="true" outlineLevel="0" collapsed="false">
      <c r="B14" s="18" t="s">
        <v>72</v>
      </c>
      <c r="C14" s="18"/>
      <c r="D14" s="18"/>
      <c r="E14" s="18"/>
    </row>
    <row r="15" customFormat="false" ht="24.75" hidden="false" customHeight="true" outlineLevel="0" collapsed="false">
      <c r="B15" s="19" t="s">
        <v>73</v>
      </c>
      <c r="C15" s="20" t="n">
        <v>111589523524.9</v>
      </c>
      <c r="E15" s="21" t="s">
        <v>74</v>
      </c>
    </row>
    <row r="16" customFormat="false" ht="15" hidden="false" customHeight="true" outlineLevel="0" collapsed="false">
      <c r="B16" s="19" t="s">
        <v>75</v>
      </c>
      <c r="C16" s="20" t="n">
        <v>111589098111.35</v>
      </c>
      <c r="E16" s="22" t="s">
        <v>76</v>
      </c>
    </row>
    <row r="17" customFormat="false" ht="15" hidden="false" customHeight="true" outlineLevel="0" collapsed="false">
      <c r="B17" s="19" t="s">
        <v>77</v>
      </c>
      <c r="C17" s="20" t="n">
        <v>22096325434.19</v>
      </c>
      <c r="E17" s="22" t="s">
        <v>78</v>
      </c>
    </row>
    <row r="18" customFormat="false" ht="15" hidden="false" customHeight="true" outlineLevel="0" collapsed="false">
      <c r="B18" s="19" t="s">
        <v>79</v>
      </c>
      <c r="C18" s="20" t="n">
        <v>21172074679.54</v>
      </c>
      <c r="E18" s="22" t="s">
        <v>76</v>
      </c>
    </row>
    <row r="19" customFormat="false" ht="15" hidden="false" customHeight="true" outlineLevel="0" collapsed="false">
      <c r="B19" s="19" t="s">
        <v>80</v>
      </c>
      <c r="C19" s="20" t="n">
        <v>110490801688.94</v>
      </c>
      <c r="E19" s="22" t="s">
        <v>81</v>
      </c>
    </row>
    <row r="20" customFormat="false" ht="15" hidden="false" customHeight="true" outlineLevel="0" collapsed="false">
      <c r="B20" s="19" t="s">
        <v>82</v>
      </c>
      <c r="C20" s="20" t="n">
        <v>108490699482.82</v>
      </c>
      <c r="E20" s="22" t="s">
        <v>76</v>
      </c>
    </row>
    <row r="21" customFormat="false" ht="15" hidden="false" customHeight="true" outlineLevel="0" collapsed="false">
      <c r="B21" s="19" t="s">
        <v>83</v>
      </c>
      <c r="C21" s="20" t="n">
        <v>57815709350.26</v>
      </c>
      <c r="E21" s="22" t="s">
        <v>84</v>
      </c>
    </row>
    <row r="22" customFormat="false" ht="15" hidden="false" customHeight="true" outlineLevel="0" collapsed="false">
      <c r="B22" s="19" t="s">
        <v>85</v>
      </c>
      <c r="C22" s="20" t="n">
        <v>56982808238.59</v>
      </c>
      <c r="E22" s="22" t="s">
        <v>76</v>
      </c>
    </row>
    <row r="23" customFormat="false" ht="15" hidden="false" customHeight="true" outlineLevel="0" collapsed="false">
      <c r="B23" s="19" t="s">
        <v>86</v>
      </c>
      <c r="C23" s="20" t="n">
        <v>7243469982.26</v>
      </c>
      <c r="E23" s="21" t="s">
        <v>87</v>
      </c>
    </row>
    <row r="24" customFormat="false" ht="15" hidden="false" customHeight="true" outlineLevel="0" collapsed="false">
      <c r="B24" s="19" t="s">
        <v>88</v>
      </c>
      <c r="C24" s="20" t="n">
        <v>7024805363.56</v>
      </c>
      <c r="E24" s="22" t="s">
        <v>76</v>
      </c>
    </row>
    <row r="25" customFormat="false" ht="15" hidden="false" customHeight="true" outlineLevel="0" collapsed="false">
      <c r="B25" s="19" t="s">
        <v>89</v>
      </c>
      <c r="C25" s="20" t="n">
        <v>170095389.11</v>
      </c>
      <c r="E25" s="21" t="s">
        <v>90</v>
      </c>
    </row>
    <row r="26" customFormat="false" ht="15" hidden="false" customHeight="true" outlineLevel="0" collapsed="false">
      <c r="B26" s="19" t="s">
        <v>91</v>
      </c>
      <c r="C26" s="20" t="n">
        <v>170095389.11</v>
      </c>
      <c r="E26" s="22" t="s">
        <v>76</v>
      </c>
    </row>
    <row r="27" customFormat="false" ht="15" hidden="false" customHeight="true" outlineLevel="0" collapsed="false">
      <c r="B27" s="19" t="s">
        <v>92</v>
      </c>
      <c r="C27" s="20" t="n">
        <v>14898030035.79</v>
      </c>
      <c r="E27" s="21" t="s">
        <v>93</v>
      </c>
    </row>
    <row r="28" customFormat="false" ht="15" hidden="false" customHeight="true" outlineLevel="0" collapsed="false">
      <c r="B28" s="19" t="s">
        <v>94</v>
      </c>
      <c r="C28" s="20" t="n">
        <v>14898030035.79</v>
      </c>
      <c r="E28" s="22" t="s">
        <v>76</v>
      </c>
    </row>
    <row r="30" customFormat="false" ht="15" hidden="false" customHeight="true" outlineLevel="0" collapsed="false">
      <c r="B30" s="23" t="s">
        <v>95</v>
      </c>
      <c r="C30" s="24"/>
      <c r="D30" s="24"/>
      <c r="E30" s="24"/>
    </row>
    <row r="31" customFormat="false" ht="24.75" hidden="false" customHeight="true" outlineLevel="0" collapsed="false">
      <c r="B31" s="19" t="s">
        <v>96</v>
      </c>
      <c r="C31" s="25" t="n">
        <v>0.0195</v>
      </c>
      <c r="E31" s="21" t="s">
        <v>97</v>
      </c>
    </row>
    <row r="32" customFormat="false" ht="24.75" hidden="false" customHeight="true" outlineLevel="0" collapsed="false">
      <c r="B32" s="19" t="s">
        <v>98</v>
      </c>
      <c r="C32" s="25" t="n">
        <v>-0.02196</v>
      </c>
      <c r="E32" s="21" t="s">
        <v>99</v>
      </c>
    </row>
    <row r="33" customFormat="false" ht="15" hidden="false" customHeight="true" outlineLevel="0" collapsed="false">
      <c r="B33" s="19" t="s">
        <v>100</v>
      </c>
      <c r="C33" s="26" t="n">
        <f aca="false">ROUND((C7+C9+C10+C11)/(C6+C8+C10+C11),4)</f>
        <v>0.8932</v>
      </c>
      <c r="D33" s="2"/>
      <c r="E33" s="21" t="s">
        <v>101</v>
      </c>
    </row>
    <row r="34" customFormat="false" ht="24.75" hidden="false" customHeight="true" outlineLevel="0" collapsed="false">
      <c r="B34" s="19" t="s">
        <v>102</v>
      </c>
      <c r="C34" s="25" t="n">
        <v>0.8932</v>
      </c>
      <c r="D34" s="2"/>
      <c r="E34" s="21" t="s">
        <v>103</v>
      </c>
    </row>
    <row r="35" customFormat="false" ht="15" hidden="false" customHeight="true" outlineLevel="0" collapsed="false">
      <c r="B35" s="19" t="s">
        <v>104</v>
      </c>
      <c r="C35" s="25" t="n">
        <v>0</v>
      </c>
      <c r="E35" s="21" t="s">
        <v>105</v>
      </c>
    </row>
    <row r="36" customFormat="false" ht="15" hidden="false" customHeight="true" outlineLevel="0" collapsed="false">
      <c r="B36" s="19" t="s">
        <v>106</v>
      </c>
      <c r="C36" s="25" t="n">
        <v>0</v>
      </c>
      <c r="E36" s="21" t="s">
        <v>107</v>
      </c>
    </row>
    <row r="37" customFormat="false" ht="15" hidden="false" customHeight="true" outlineLevel="0" collapsed="false">
      <c r="B37" s="19" t="s">
        <v>108</v>
      </c>
      <c r="C37" s="27" t="n">
        <v>1</v>
      </c>
      <c r="E37" s="22" t="s">
        <v>109</v>
      </c>
    </row>
    <row r="38" customFormat="false" ht="15" hidden="false" customHeight="true" outlineLevel="0" collapsed="false">
      <c r="B38" s="19" t="s">
        <v>110</v>
      </c>
      <c r="C38" s="27" t="n">
        <v>1.5</v>
      </c>
      <c r="E38" s="22" t="s">
        <v>111</v>
      </c>
    </row>
    <row r="39" customFormat="false" ht="15" hidden="false" customHeight="true" outlineLevel="0" collapsed="false">
      <c r="B39" s="19" t="s">
        <v>112</v>
      </c>
      <c r="C39" s="28" t="n">
        <v>0.5</v>
      </c>
      <c r="E39" s="22" t="s">
        <v>113</v>
      </c>
    </row>
    <row r="41" customFormat="false" ht="15" hidden="false" customHeight="true" outlineLevel="0" collapsed="false">
      <c r="B41" s="23" t="s">
        <v>114</v>
      </c>
      <c r="C41" s="24"/>
      <c r="D41" s="24"/>
      <c r="E41" s="24"/>
    </row>
    <row r="42" customFormat="false" ht="15" hidden="false" customHeight="true" outlineLevel="0" collapsed="false">
      <c r="B42" s="19" t="s">
        <v>115</v>
      </c>
      <c r="C42" s="29" t="n">
        <v>0.125</v>
      </c>
      <c r="E42" s="22" t="s">
        <v>116</v>
      </c>
    </row>
    <row r="43" customFormat="false" ht="15" hidden="false" customHeight="true" outlineLevel="0" collapsed="false">
      <c r="B43" s="19" t="s">
        <v>117</v>
      </c>
      <c r="C43" s="29" t="n">
        <v>0.25</v>
      </c>
      <c r="E43" s="22" t="s">
        <v>116</v>
      </c>
    </row>
    <row r="44" customFormat="false" ht="15" hidden="false" customHeight="true" outlineLevel="0" collapsed="false">
      <c r="B44" s="19" t="s">
        <v>118</v>
      </c>
      <c r="C44" s="29" t="n">
        <v>0.375</v>
      </c>
      <c r="E44" s="22" t="s">
        <v>116</v>
      </c>
    </row>
    <row r="45" customFormat="false" ht="15" hidden="false" customHeight="true" outlineLevel="0" collapsed="false">
      <c r="B45" s="19" t="s">
        <v>119</v>
      </c>
      <c r="C45" s="29" t="n">
        <v>0.5</v>
      </c>
      <c r="E45" s="22" t="s">
        <v>116</v>
      </c>
    </row>
    <row r="46" customFormat="false" ht="15" hidden="false" customHeight="true" outlineLevel="0" collapsed="false">
      <c r="B46" s="19" t="s">
        <v>120</v>
      </c>
      <c r="C46" s="29" t="n">
        <v>0.5</v>
      </c>
      <c r="E46" s="22" t="s">
        <v>116</v>
      </c>
    </row>
    <row r="48" customFormat="false" ht="15" hidden="false" customHeight="true" outlineLevel="0" collapsed="false">
      <c r="B48" s="23" t="s">
        <v>121</v>
      </c>
      <c r="C48" s="24"/>
      <c r="D48" s="24"/>
      <c r="E48" s="24"/>
    </row>
    <row r="49" customFormat="false" ht="15" hidden="false" customHeight="true" outlineLevel="0" collapsed="false">
      <c r="B49" s="19" t="s">
        <v>122</v>
      </c>
      <c r="C49" s="30" t="n">
        <f aca="false">C147+C148</f>
        <v>505701689.94</v>
      </c>
      <c r="D49" s="2"/>
      <c r="E49" s="21" t="s">
        <v>123</v>
      </c>
    </row>
    <row r="50" customFormat="false" ht="15" hidden="false" customHeight="true" outlineLevel="0" collapsed="false">
      <c r="B50" s="19" t="s">
        <v>124</v>
      </c>
      <c r="C50" s="30" t="n">
        <f aca="false">C149*(C123+C124)</f>
        <v>7730895749.51375</v>
      </c>
      <c r="D50" s="2"/>
      <c r="E50" s="21" t="s">
        <v>125</v>
      </c>
    </row>
    <row r="51" customFormat="false" ht="15" hidden="false" customHeight="true" outlineLevel="0" collapsed="false">
      <c r="B51" s="19" t="s">
        <v>126</v>
      </c>
      <c r="C51" s="20" t="n">
        <v>1410000000</v>
      </c>
      <c r="D51" s="2"/>
      <c r="E51" s="21" t="s">
        <v>127</v>
      </c>
    </row>
    <row r="52" customFormat="false" ht="24.75" hidden="false" customHeight="true" outlineLevel="0" collapsed="false">
      <c r="B52" s="19" t="s">
        <v>128</v>
      </c>
      <c r="C52" s="31" t="n">
        <v>0.015</v>
      </c>
      <c r="D52" s="2"/>
      <c r="E52" s="21" t="s">
        <v>129</v>
      </c>
    </row>
    <row r="53" customFormat="false" ht="24.75" hidden="false" customHeight="true" outlineLevel="0" collapsed="false">
      <c r="B53" s="19" t="s">
        <v>130</v>
      </c>
      <c r="C53" s="20" t="n">
        <v>2064000000</v>
      </c>
      <c r="D53" s="2"/>
      <c r="E53" s="21" t="s">
        <v>131</v>
      </c>
    </row>
    <row r="54" customFormat="false" ht="64.5" hidden="false" customHeight="true" outlineLevel="0" collapsed="false">
      <c r="B54" s="14" t="s">
        <v>132</v>
      </c>
      <c r="C54" s="20" t="n">
        <v>46500000</v>
      </c>
      <c r="D54" s="2"/>
      <c r="E54" s="21" t="s">
        <v>133</v>
      </c>
    </row>
    <row r="55" customFormat="false" ht="24.75" hidden="false" customHeight="true" outlineLevel="0" collapsed="false">
      <c r="B55" s="19" t="s">
        <v>134</v>
      </c>
      <c r="C55" s="20" t="n">
        <v>180000000</v>
      </c>
      <c r="D55" s="2"/>
      <c r="E55" s="21" t="s">
        <v>135</v>
      </c>
    </row>
    <row r="56" customFormat="false" ht="15" hidden="false" customHeight="true" outlineLevel="0" collapsed="false">
      <c r="B56" s="19" t="s">
        <v>136</v>
      </c>
      <c r="C56" s="20" t="n">
        <v>0</v>
      </c>
      <c r="D56" s="2"/>
      <c r="E56" s="21" t="s">
        <v>137</v>
      </c>
    </row>
    <row r="57" customFormat="false" ht="64.5" hidden="false" customHeight="true" outlineLevel="0" collapsed="false">
      <c r="B57" s="14" t="s">
        <v>138</v>
      </c>
      <c r="C57" s="20" t="n">
        <v>168500000</v>
      </c>
      <c r="D57" s="2"/>
      <c r="E57" s="21" t="s">
        <v>139</v>
      </c>
    </row>
    <row r="58" customFormat="false" ht="15" hidden="false" customHeight="true" outlineLevel="0" collapsed="false">
      <c r="B58" s="23" t="s">
        <v>140</v>
      </c>
      <c r="C58" s="24"/>
      <c r="D58" s="24"/>
      <c r="E58" s="24"/>
    </row>
    <row r="59" customFormat="false" ht="24.75" hidden="false" customHeight="true" outlineLevel="0" collapsed="false">
      <c r="B59" s="19" t="s">
        <v>141</v>
      </c>
      <c r="C59" s="20" t="n">
        <v>8960328499</v>
      </c>
      <c r="D59" s="2"/>
      <c r="E59" s="21" t="s">
        <v>142</v>
      </c>
    </row>
    <row r="60" customFormat="false" ht="24.75" hidden="false" customHeight="true" outlineLevel="0" collapsed="false">
      <c r="B60" s="19" t="s">
        <v>143</v>
      </c>
      <c r="C60" s="32" t="n">
        <v>8231000000</v>
      </c>
      <c r="D60" s="2"/>
      <c r="E60" s="21" t="s">
        <v>144</v>
      </c>
    </row>
    <row r="61" customFormat="false" ht="24.75" hidden="false" customHeight="true" outlineLevel="0" collapsed="false">
      <c r="B61" s="19" t="s">
        <v>145</v>
      </c>
      <c r="C61" s="20" t="n">
        <v>3388144415</v>
      </c>
      <c r="D61" s="2"/>
      <c r="E61" s="21" t="s">
        <v>146</v>
      </c>
    </row>
    <row r="62" customFormat="false" ht="24.75" hidden="false" customHeight="true" outlineLevel="0" collapsed="false">
      <c r="B62" s="19" t="s">
        <v>147</v>
      </c>
      <c r="C62" s="31" t="n">
        <v>0.25</v>
      </c>
      <c r="E62" s="21" t="s">
        <v>148</v>
      </c>
    </row>
    <row r="63" customFormat="false" ht="15" hidden="false" customHeight="true" outlineLevel="0" collapsed="false">
      <c r="B63" s="19" t="s">
        <v>149</v>
      </c>
      <c r="C63" s="31" t="n">
        <v>0.6</v>
      </c>
      <c r="E63" s="22" t="s">
        <v>150</v>
      </c>
    </row>
    <row r="64" customFormat="false" ht="15" hidden="false" customHeight="true" outlineLevel="0" collapsed="false">
      <c r="B64" s="19" t="s">
        <v>151</v>
      </c>
      <c r="C64" s="33" t="n">
        <v>3</v>
      </c>
      <c r="D64" s="2"/>
      <c r="E64" s="21" t="s">
        <v>152</v>
      </c>
    </row>
    <row r="66" customFormat="false" ht="49.5" hidden="false" customHeight="true" outlineLevel="0" collapsed="false">
      <c r="B66" s="34" t="s">
        <v>153</v>
      </c>
    </row>
    <row r="68" customFormat="false" ht="15" hidden="false" customHeight="true" outlineLevel="0" collapsed="false">
      <c r="B68" s="13" t="s">
        <v>154</v>
      </c>
    </row>
    <row r="69" customFormat="false" ht="54.75" hidden="false" customHeight="true" outlineLevel="0" collapsed="false">
      <c r="B69" s="21" t="s">
        <v>155</v>
      </c>
    </row>
    <row r="70" customFormat="false" ht="34.5" hidden="false" customHeight="true" outlineLevel="0" collapsed="false">
      <c r="B70" s="21" t="s">
        <v>156</v>
      </c>
    </row>
    <row r="71" customFormat="false" ht="24.75" hidden="false" customHeight="true" outlineLevel="0" collapsed="false">
      <c r="B71" s="22" t="s">
        <v>157</v>
      </c>
    </row>
    <row r="73" customFormat="false" ht="15.75" hidden="false" customHeight="true" outlineLevel="0" collapsed="false">
      <c r="B73" s="18" t="s">
        <v>158</v>
      </c>
      <c r="C73" s="18"/>
      <c r="D73" s="18"/>
      <c r="E73" s="18"/>
    </row>
    <row r="74" customFormat="false" ht="24.75" hidden="false" customHeight="true" outlineLevel="0" collapsed="false">
      <c r="B74" s="19" t="s">
        <v>159</v>
      </c>
      <c r="C74" s="26" t="n">
        <f aca="false">C107/(C107+C108)</f>
        <v>0.998059175393064</v>
      </c>
      <c r="D74" s="2"/>
      <c r="E74" s="21" t="s">
        <v>160</v>
      </c>
    </row>
    <row r="75" customFormat="false" ht="24.75" hidden="false" customHeight="true" outlineLevel="0" collapsed="false">
      <c r="B75" s="19" t="s">
        <v>161</v>
      </c>
      <c r="C75" s="26" t="n">
        <f aca="false">C109/(C109+C110)</f>
        <v>0.908650695230564</v>
      </c>
      <c r="D75" s="2"/>
      <c r="E75" s="21" t="s">
        <v>162</v>
      </c>
    </row>
    <row r="76" customFormat="false" ht="15" hidden="false" customHeight="true" outlineLevel="0" collapsed="false">
      <c r="B76" s="19" t="s">
        <v>163</v>
      </c>
      <c r="C76" s="35" t="n">
        <v>0</v>
      </c>
      <c r="D76" s="2"/>
      <c r="E76" s="21" t="s">
        <v>164</v>
      </c>
    </row>
    <row r="77" customFormat="false" ht="24.75" hidden="false" customHeight="true" outlineLevel="0" collapsed="false">
      <c r="B77" s="19" t="s">
        <v>165</v>
      </c>
      <c r="C77" s="36" t="n">
        <v>4500000000</v>
      </c>
      <c r="E77" s="22" t="s">
        <v>166</v>
      </c>
    </row>
    <row r="78" customFormat="false" ht="24.75" hidden="false" customHeight="true" outlineLevel="0" collapsed="false">
      <c r="B78" s="19" t="s">
        <v>167</v>
      </c>
      <c r="C78" s="36" t="n">
        <v>2100000000</v>
      </c>
      <c r="E78" s="22" t="s">
        <v>168</v>
      </c>
    </row>
    <row r="80" customFormat="false" ht="15" hidden="false" customHeight="true" outlineLevel="0" collapsed="false">
      <c r="B80" s="23" t="s">
        <v>169</v>
      </c>
      <c r="C80" s="24"/>
      <c r="D80" s="24"/>
      <c r="E80" s="24"/>
    </row>
    <row r="81" customFormat="false" ht="15" hidden="false" customHeight="true" outlineLevel="0" collapsed="false">
      <c r="B81" s="19" t="s">
        <v>170</v>
      </c>
      <c r="C81" s="25" t="n">
        <v>0.24</v>
      </c>
      <c r="E81" s="22" t="s">
        <v>171</v>
      </c>
    </row>
    <row r="82" customFormat="false" ht="15" hidden="false" customHeight="true" outlineLevel="0" collapsed="false">
      <c r="B82" s="19" t="s">
        <v>172</v>
      </c>
      <c r="C82" s="25" t="n">
        <v>0.035</v>
      </c>
      <c r="E82" s="22" t="s">
        <v>173</v>
      </c>
    </row>
    <row r="83" customFormat="false" ht="15" hidden="false" customHeight="true" outlineLevel="0" collapsed="false">
      <c r="B83" s="19" t="s">
        <v>174</v>
      </c>
      <c r="C83" s="25" t="n">
        <v>0.01</v>
      </c>
      <c r="E83" s="22" t="s">
        <v>175</v>
      </c>
    </row>
    <row r="84" customFormat="false" ht="24.75" hidden="false" customHeight="true" outlineLevel="0" collapsed="false">
      <c r="B84" s="19" t="s">
        <v>176</v>
      </c>
      <c r="C84" s="27" t="n">
        <v>1</v>
      </c>
      <c r="E84" s="22" t="s">
        <v>177</v>
      </c>
    </row>
    <row r="86" customFormat="false" ht="15" hidden="false" customHeight="true" outlineLevel="0" collapsed="false">
      <c r="B86" s="23" t="s">
        <v>178</v>
      </c>
      <c r="C86" s="37"/>
      <c r="D86" s="37"/>
      <c r="E86" s="37"/>
    </row>
    <row r="87" customFormat="false" ht="15" hidden="false" customHeight="true" outlineLevel="0" collapsed="false">
      <c r="B87" s="19" t="s">
        <v>179</v>
      </c>
      <c r="C87" s="20" t="n">
        <v>4983984394</v>
      </c>
      <c r="D87" s="2"/>
      <c r="E87" s="21" t="s">
        <v>180</v>
      </c>
    </row>
    <row r="88" customFormat="false" ht="15" hidden="false" customHeight="true" outlineLevel="0" collapsed="false">
      <c r="B88" s="19" t="s">
        <v>181</v>
      </c>
      <c r="C88" s="20" t="n">
        <v>3976344105</v>
      </c>
      <c r="D88" s="2"/>
      <c r="E88" s="21" t="s">
        <v>182</v>
      </c>
    </row>
    <row r="89" customFormat="false" ht="15" hidden="false" customHeight="true" outlineLevel="0" collapsed="false">
      <c r="B89" s="19" t="s">
        <v>183</v>
      </c>
      <c r="C89" s="32" t="n">
        <v>1000000000</v>
      </c>
      <c r="D89" s="2"/>
      <c r="E89" s="21" t="s">
        <v>184</v>
      </c>
    </row>
    <row r="90" customFormat="false" ht="15" hidden="false" customHeight="true" outlineLevel="0" collapsed="false">
      <c r="B90" s="19" t="s">
        <v>185</v>
      </c>
      <c r="C90" s="35" t="n">
        <v>0</v>
      </c>
      <c r="D90" s="2"/>
      <c r="E90" s="21" t="s">
        <v>186</v>
      </c>
    </row>
    <row r="91" customFormat="false" ht="15" hidden="false" customHeight="true" outlineLevel="0" collapsed="false">
      <c r="B91" s="19" t="s">
        <v>187</v>
      </c>
      <c r="C91" s="30" t="n">
        <f aca="false">C87+C88-C59</f>
        <v>0</v>
      </c>
      <c r="D91" s="2"/>
      <c r="E91" s="21" t="s">
        <v>188</v>
      </c>
    </row>
    <row r="93" customFormat="false" ht="15" hidden="false" customHeight="true" outlineLevel="0" collapsed="false">
      <c r="B93" s="23" t="s">
        <v>189</v>
      </c>
      <c r="C93" s="24"/>
      <c r="D93" s="24"/>
      <c r="E93" s="24"/>
    </row>
    <row r="94" customFormat="false" ht="15" hidden="false" customHeight="true" outlineLevel="0" collapsed="false">
      <c r="B94" s="19" t="s">
        <v>190</v>
      </c>
      <c r="C94" s="25" t="n">
        <v>0.01</v>
      </c>
      <c r="E94" s="22" t="s">
        <v>191</v>
      </c>
    </row>
    <row r="95" customFormat="false" ht="15" hidden="false" customHeight="true" outlineLevel="0" collapsed="false">
      <c r="B95" s="19" t="s">
        <v>192</v>
      </c>
      <c r="C95" s="25" t="n">
        <v>0</v>
      </c>
      <c r="E95" s="22" t="s">
        <v>193</v>
      </c>
    </row>
    <row r="96" customFormat="false" ht="15" hidden="false" customHeight="true" outlineLevel="0" collapsed="false">
      <c r="B96" s="19" t="s">
        <v>194</v>
      </c>
      <c r="C96" s="27" t="n">
        <v>2</v>
      </c>
      <c r="E96" s="22" t="s">
        <v>195</v>
      </c>
    </row>
    <row r="97" customFormat="false" ht="15" hidden="false" customHeight="true" outlineLevel="0" collapsed="false">
      <c r="B97" s="9"/>
      <c r="C97" s="9"/>
      <c r="D97" s="2"/>
      <c r="E97" s="14"/>
    </row>
    <row r="99" customFormat="false" ht="15" hidden="false" customHeight="true" outlineLevel="0" collapsed="false">
      <c r="B99" s="23" t="s">
        <v>196</v>
      </c>
      <c r="C99" s="24"/>
      <c r="D99" s="24"/>
      <c r="E99" s="24"/>
    </row>
    <row r="100" customFormat="false" ht="24.75" hidden="false" customHeight="true" outlineLevel="0" collapsed="false">
      <c r="B100" s="19" t="s">
        <v>197</v>
      </c>
      <c r="C100" s="38" t="n">
        <v>30000000000</v>
      </c>
      <c r="E100" s="22" t="s">
        <v>198</v>
      </c>
    </row>
    <row r="101" customFormat="false" ht="15" hidden="false" customHeight="true" outlineLevel="0" collapsed="false">
      <c r="B101" s="19" t="s">
        <v>199</v>
      </c>
      <c r="C101" s="39" t="n">
        <v>0.3088</v>
      </c>
      <c r="E101" s="22" t="s">
        <v>200</v>
      </c>
    </row>
    <row r="102" customFormat="false" ht="15" hidden="false" customHeight="true" outlineLevel="0" collapsed="false">
      <c r="B102" s="19" t="s">
        <v>201</v>
      </c>
      <c r="C102" s="40" t="n">
        <v>8</v>
      </c>
      <c r="E102" s="22" t="s">
        <v>202</v>
      </c>
    </row>
    <row r="103" customFormat="false" ht="15" hidden="false" customHeight="true" outlineLevel="0" collapsed="false">
      <c r="B103" s="19" t="s">
        <v>203</v>
      </c>
      <c r="C103" s="40" t="n">
        <v>15</v>
      </c>
      <c r="E103" s="22" t="s">
        <v>204</v>
      </c>
    </row>
    <row r="104" customFormat="false" ht="24.75" hidden="false" customHeight="true" outlineLevel="0" collapsed="false">
      <c r="B104" s="19" t="s">
        <v>205</v>
      </c>
      <c r="C104" s="30" t="n">
        <f aca="false">C100*(C102-1)/C102</f>
        <v>26250000000</v>
      </c>
      <c r="D104" s="2"/>
      <c r="E104" s="21" t="s">
        <v>206</v>
      </c>
    </row>
    <row r="106" customFormat="false" ht="15.75" hidden="false" customHeight="true" outlineLevel="0" collapsed="false">
      <c r="B106" s="18" t="s">
        <v>207</v>
      </c>
      <c r="C106" s="18"/>
      <c r="D106" s="18"/>
      <c r="E106" s="18"/>
    </row>
    <row r="107" customFormat="false" ht="15" hidden="false" customHeight="true" outlineLevel="0" collapsed="false">
      <c r="B107" s="19" t="s">
        <v>208</v>
      </c>
      <c r="C107" s="20" t="n">
        <v>207565454181.72</v>
      </c>
      <c r="D107" s="2"/>
      <c r="E107" s="21" t="s">
        <v>209</v>
      </c>
    </row>
    <row r="108" customFormat="false" ht="15" hidden="false" customHeight="false" outlineLevel="0" collapsed="false">
      <c r="B108" s="19" t="s">
        <v>210</v>
      </c>
      <c r="C108" s="20" t="n">
        <v>403631519.01</v>
      </c>
      <c r="D108" s="2"/>
      <c r="E108" s="2"/>
    </row>
    <row r="109" customFormat="false" ht="15" hidden="false" customHeight="true" outlineLevel="0" collapsed="false">
      <c r="B109" s="19" t="s">
        <v>211</v>
      </c>
      <c r="C109" s="20" t="n">
        <v>79683151665.59</v>
      </c>
      <c r="D109" s="2"/>
      <c r="E109" s="21" t="s">
        <v>212</v>
      </c>
    </row>
    <row r="110" customFormat="false" ht="15" hidden="false" customHeight="false" outlineLevel="0" collapsed="false">
      <c r="B110" s="19" t="s">
        <v>213</v>
      </c>
      <c r="C110" s="20" t="n">
        <v>8010779659</v>
      </c>
      <c r="D110" s="2"/>
      <c r="E110" s="2"/>
    </row>
    <row r="111" customFormat="false" ht="15" hidden="false" customHeight="false" outlineLevel="0" collapsed="false">
      <c r="B111" s="19" t="s">
        <v>214</v>
      </c>
      <c r="C111" s="20" t="n">
        <v>190050533.83</v>
      </c>
      <c r="D111" s="2"/>
      <c r="E111" s="2"/>
    </row>
    <row r="112" customFormat="false" ht="15" hidden="false" customHeight="false" outlineLevel="0" collapsed="false">
      <c r="B112" s="19" t="s">
        <v>215</v>
      </c>
      <c r="C112" s="20" t="n">
        <v>7331698373.78</v>
      </c>
      <c r="D112" s="2"/>
      <c r="E112" s="2"/>
    </row>
    <row r="113" customFormat="false" ht="27" hidden="false" customHeight="true" outlineLevel="0" collapsed="false">
      <c r="B113" s="14" t="s">
        <v>216</v>
      </c>
      <c r="C113" s="30" t="n">
        <f aca="false">(C107+C108)-(C9+C10+C12)</f>
        <v>0</v>
      </c>
      <c r="D113" s="2"/>
      <c r="E113" s="21" t="s">
        <v>217</v>
      </c>
    </row>
    <row r="114" customFormat="false" ht="15" hidden="false" customHeight="true" outlineLevel="0" collapsed="false">
      <c r="B114" s="19" t="s">
        <v>218</v>
      </c>
      <c r="C114" s="30" t="n">
        <f aca="false">C107+C108-C12</f>
        <v>205938984903.51</v>
      </c>
      <c r="D114" s="2"/>
      <c r="E114" s="21" t="s">
        <v>219</v>
      </c>
    </row>
    <row r="115" customFormat="false" ht="15" hidden="false" customHeight="false" outlineLevel="0" collapsed="false">
      <c r="B115" s="19" t="s">
        <v>220</v>
      </c>
      <c r="C115" s="30" t="n">
        <f aca="false">C109+C110</f>
        <v>87693931324.59</v>
      </c>
      <c r="D115" s="2"/>
      <c r="E115" s="2"/>
    </row>
    <row r="116" customFormat="false" ht="15" hidden="false" customHeight="false" outlineLevel="0" collapsed="false">
      <c r="B116" s="19" t="s">
        <v>221</v>
      </c>
      <c r="C116" s="30" t="n">
        <f aca="false">C111</f>
        <v>190050533.83</v>
      </c>
      <c r="D116" s="2"/>
      <c r="E116" s="2"/>
    </row>
    <row r="117" customFormat="false" ht="15" hidden="false" customHeight="false" outlineLevel="0" collapsed="false">
      <c r="B117" s="19" t="s">
        <v>222</v>
      </c>
      <c r="C117" s="30" t="n">
        <f aca="false">C112</f>
        <v>7331698373.78</v>
      </c>
      <c r="D117" s="2"/>
      <c r="E117" s="2"/>
    </row>
    <row r="118" customFormat="false" ht="24.75" hidden="false" customHeight="true" outlineLevel="0" collapsed="false">
      <c r="B118" s="19" t="s">
        <v>223</v>
      </c>
      <c r="C118" s="31" t="n">
        <v>0.824</v>
      </c>
      <c r="D118" s="2"/>
      <c r="E118" s="21" t="s">
        <v>224</v>
      </c>
    </row>
    <row r="120" customFormat="false" ht="15.75" hidden="false" customHeight="true" outlineLevel="0" collapsed="false">
      <c r="B120" s="18" t="s">
        <v>225</v>
      </c>
      <c r="C120" s="18"/>
      <c r="D120" s="18"/>
      <c r="E120" s="18"/>
    </row>
    <row r="121" customFormat="false" ht="15" hidden="false" customHeight="true" outlineLevel="0" collapsed="false">
      <c r="B121" s="19" t="s">
        <v>226</v>
      </c>
      <c r="C121" s="20" t="n">
        <v>301154665135.71</v>
      </c>
      <c r="D121" s="2"/>
      <c r="E121" s="21" t="s">
        <v>227</v>
      </c>
    </row>
    <row r="122" customFormat="false" ht="15" hidden="false" customHeight="false" outlineLevel="0" collapsed="false">
      <c r="B122" s="19" t="s">
        <v>228</v>
      </c>
      <c r="C122" s="20" t="n">
        <v>2030100797.22</v>
      </c>
      <c r="D122" s="2"/>
      <c r="E122" s="2"/>
    </row>
    <row r="123" customFormat="false" ht="15" hidden="false" customHeight="true" outlineLevel="0" collapsed="false">
      <c r="B123" s="19" t="s">
        <v>229</v>
      </c>
      <c r="C123" s="20" t="n">
        <v>251403592133.29</v>
      </c>
      <c r="D123" s="2"/>
      <c r="E123" s="21" t="s">
        <v>230</v>
      </c>
    </row>
    <row r="124" customFormat="false" ht="15" hidden="false" customHeight="false" outlineLevel="0" collapsed="false">
      <c r="B124" s="19" t="s">
        <v>231</v>
      </c>
      <c r="C124" s="20" t="n">
        <v>57832237847.26</v>
      </c>
      <c r="D124" s="2"/>
      <c r="E124" s="2"/>
    </row>
    <row r="125" customFormat="false" ht="15" hidden="false" customHeight="true" outlineLevel="0" collapsed="false">
      <c r="B125" s="19" t="s">
        <v>232</v>
      </c>
      <c r="C125" s="20" t="n">
        <v>-6051064047.62</v>
      </c>
      <c r="D125" s="2"/>
      <c r="E125" s="21" t="s">
        <v>233</v>
      </c>
    </row>
    <row r="126" customFormat="false" ht="15" hidden="false" customHeight="true" outlineLevel="0" collapsed="false">
      <c r="B126" s="19" t="s">
        <v>234</v>
      </c>
      <c r="C126" s="30" t="n">
        <f aca="false">C124-C21</f>
        <v>16528497</v>
      </c>
      <c r="D126" s="2"/>
      <c r="E126" s="21" t="s">
        <v>235</v>
      </c>
    </row>
    <row r="127" customFormat="false" ht="15" hidden="false" customHeight="true" outlineLevel="0" collapsed="false">
      <c r="B127" s="19" t="s">
        <v>236</v>
      </c>
      <c r="C127" s="30" t="n">
        <f aca="false">C15+C17+C19+C21+C23+C25+C27</f>
        <v>324303955405.45</v>
      </c>
      <c r="D127" s="2"/>
      <c r="E127" s="21" t="s">
        <v>237</v>
      </c>
    </row>
    <row r="128" customFormat="false" ht="24.75" hidden="false" customHeight="true" outlineLevel="0" collapsed="false">
      <c r="B128" s="19" t="s">
        <v>238</v>
      </c>
      <c r="C128" s="30" t="n">
        <f aca="false">C17+C21+C23+C25</f>
        <v>87325600155.82</v>
      </c>
      <c r="D128" s="2"/>
      <c r="E128" s="21" t="s">
        <v>239</v>
      </c>
    </row>
    <row r="130" customFormat="false" ht="15" hidden="false" customHeight="false" outlineLevel="0" collapsed="false">
      <c r="B130" s="23" t="s">
        <v>240</v>
      </c>
      <c r="C130" s="41"/>
      <c r="D130" s="41"/>
      <c r="E130" s="41"/>
    </row>
    <row r="131" customFormat="false" ht="15" hidden="false" customHeight="true" outlineLevel="0" collapsed="false">
      <c r="B131" s="19" t="s">
        <v>241</v>
      </c>
      <c r="C131" s="35" t="n">
        <v>0.1088</v>
      </c>
      <c r="D131" s="2"/>
      <c r="E131" s="21" t="s">
        <v>242</v>
      </c>
    </row>
    <row r="132" customFormat="false" ht="15" hidden="false" customHeight="true" outlineLevel="0" collapsed="false">
      <c r="B132" s="19" t="s">
        <v>243</v>
      </c>
      <c r="C132" s="42" t="n">
        <v>0.25</v>
      </c>
      <c r="D132" s="2"/>
      <c r="E132" s="21" t="s">
        <v>244</v>
      </c>
    </row>
    <row r="133" customFormat="false" ht="15" hidden="false" customHeight="false" outlineLevel="0" collapsed="false">
      <c r="B133" s="19" t="s">
        <v>245</v>
      </c>
      <c r="C133" s="20" t="n">
        <v>8089117779</v>
      </c>
      <c r="D133" s="2"/>
      <c r="E133" s="2"/>
    </row>
    <row r="134" customFormat="false" ht="24.75" hidden="false" customHeight="true" outlineLevel="0" collapsed="false">
      <c r="B134" s="19" t="s">
        <v>246</v>
      </c>
      <c r="C134" s="20" t="n">
        <v>1636527548</v>
      </c>
      <c r="D134" s="2"/>
      <c r="E134" s="21" t="s">
        <v>247</v>
      </c>
    </row>
    <row r="135" customFormat="false" ht="15" hidden="false" customHeight="false" outlineLevel="0" collapsed="false">
      <c r="B135" s="19" t="s">
        <v>248</v>
      </c>
      <c r="C135" s="20" t="n">
        <v>4850852925</v>
      </c>
      <c r="D135" s="2"/>
      <c r="E135" s="2"/>
    </row>
    <row r="136" customFormat="false" ht="15" hidden="false" customHeight="false" outlineLevel="0" collapsed="false">
      <c r="B136" s="19" t="s">
        <v>249</v>
      </c>
      <c r="C136" s="20" t="n">
        <v>5936238856</v>
      </c>
      <c r="D136" s="2"/>
      <c r="E136" s="2"/>
    </row>
    <row r="137" customFormat="false" ht="15" hidden="false" customHeight="false" outlineLevel="0" collapsed="false">
      <c r="B137" s="19" t="s">
        <v>250</v>
      </c>
      <c r="C137" s="20" t="n">
        <v>5983226473</v>
      </c>
      <c r="D137" s="2"/>
      <c r="E137" s="2"/>
    </row>
    <row r="138" customFormat="false" ht="15" hidden="false" customHeight="true" outlineLevel="0" collapsed="false">
      <c r="B138" s="19" t="s">
        <v>251</v>
      </c>
      <c r="C138" s="20" t="n">
        <v>1611791318</v>
      </c>
      <c r="D138" s="2"/>
      <c r="E138" s="21" t="s">
        <v>252</v>
      </c>
    </row>
    <row r="139" customFormat="false" ht="15" hidden="false" customHeight="false" outlineLevel="0" collapsed="false">
      <c r="B139" s="19" t="s">
        <v>253</v>
      </c>
      <c r="C139" s="20" t="n">
        <v>4815198717</v>
      </c>
      <c r="D139" s="2"/>
      <c r="E139" s="2"/>
    </row>
    <row r="140" customFormat="false" ht="15" hidden="false" customHeight="false" outlineLevel="0" collapsed="false">
      <c r="B140" s="19" t="s">
        <v>254</v>
      </c>
      <c r="C140" s="20" t="n">
        <v>5899395470</v>
      </c>
      <c r="D140" s="2"/>
      <c r="E140" s="2"/>
    </row>
    <row r="141" customFormat="false" ht="15" hidden="false" customHeight="false" outlineLevel="0" collapsed="false">
      <c r="B141" s="19" t="s">
        <v>255</v>
      </c>
      <c r="C141" s="20" t="n">
        <v>5946362291</v>
      </c>
      <c r="D141" s="2"/>
      <c r="E141" s="2"/>
    </row>
    <row r="142" customFormat="false" ht="15" hidden="false" customHeight="true" outlineLevel="0" collapsed="false">
      <c r="B142" s="19" t="s">
        <v>256</v>
      </c>
      <c r="C142" s="43" t="n">
        <v>0</v>
      </c>
      <c r="D142" s="2"/>
      <c r="E142" s="21" t="s">
        <v>257</v>
      </c>
    </row>
    <row r="143" customFormat="false" ht="15" hidden="false" customHeight="true" outlineLevel="0" collapsed="false">
      <c r="B143" s="19" t="s">
        <v>258</v>
      </c>
      <c r="C143" s="30" t="n">
        <f aca="false">C50-C49</f>
        <v>7225194059.57375</v>
      </c>
      <c r="D143" s="2"/>
      <c r="E143" s="21" t="s">
        <v>259</v>
      </c>
    </row>
    <row r="144" customFormat="false" ht="27" hidden="false" customHeight="true" outlineLevel="0" collapsed="false">
      <c r="B144" s="14" t="s">
        <v>260</v>
      </c>
      <c r="C144" s="44" t="n">
        <f aca="false">C141/C143</f>
        <v>0.823003817194469</v>
      </c>
      <c r="D144" s="2"/>
      <c r="E144" s="21" t="s">
        <v>261</v>
      </c>
    </row>
    <row r="146" customFormat="false" ht="15" hidden="false" customHeight="false" outlineLevel="0" collapsed="false">
      <c r="B146" s="23" t="s">
        <v>262</v>
      </c>
      <c r="C146" s="41"/>
      <c r="D146" s="41"/>
      <c r="E146" s="41"/>
    </row>
    <row r="147" customFormat="false" ht="15" hidden="false" customHeight="false" outlineLevel="0" collapsed="false">
      <c r="B147" s="19" t="s">
        <v>263</v>
      </c>
      <c r="C147" s="20" t="n">
        <v>170314500.62</v>
      </c>
      <c r="D147" s="2"/>
      <c r="E147" s="2"/>
    </row>
    <row r="148" customFormat="false" ht="15" hidden="false" customHeight="false" outlineLevel="0" collapsed="false">
      <c r="B148" s="19" t="s">
        <v>264</v>
      </c>
      <c r="C148" s="20" t="n">
        <v>335387189.32</v>
      </c>
      <c r="D148" s="2"/>
      <c r="E148" s="2"/>
    </row>
    <row r="149" customFormat="false" ht="15" hidden="false" customHeight="true" outlineLevel="0" collapsed="false">
      <c r="B149" s="19" t="s">
        <v>265</v>
      </c>
      <c r="C149" s="31" t="n">
        <v>0.025</v>
      </c>
      <c r="D149" s="2"/>
      <c r="E149" s="21" t="s">
        <v>266</v>
      </c>
    </row>
    <row r="150" customFormat="false" ht="15" hidden="false" customHeight="true" outlineLevel="0" collapsed="false">
      <c r="B150" s="19" t="s">
        <v>267</v>
      </c>
      <c r="C150" s="42" t="n">
        <v>0.6</v>
      </c>
      <c r="D150" s="2"/>
      <c r="E150" s="21" t="s">
        <v>268</v>
      </c>
    </row>
    <row r="151" customFormat="false" ht="15" hidden="false" customHeight="true" outlineLevel="0" collapsed="false">
      <c r="B151" s="19" t="s">
        <v>269</v>
      </c>
      <c r="C151" s="42" t="n">
        <v>0.6</v>
      </c>
      <c r="D151" s="2"/>
      <c r="E151" s="21" t="s">
        <v>270</v>
      </c>
    </row>
    <row r="152" customFormat="false" ht="15" hidden="false" customHeight="true" outlineLevel="0" collapsed="false">
      <c r="B152" s="19" t="s">
        <v>271</v>
      </c>
      <c r="C152" s="33" t="n">
        <v>2</v>
      </c>
      <c r="D152" s="2"/>
      <c r="E152" s="21" t="s">
        <v>272</v>
      </c>
    </row>
    <row r="153" customFormat="false" ht="24.75" hidden="false" customHeight="true" outlineLevel="0" collapsed="false">
      <c r="B153" s="19" t="s">
        <v>273</v>
      </c>
      <c r="C153" s="20" t="n">
        <v>3000000</v>
      </c>
      <c r="D153" s="2"/>
      <c r="E153" s="21" t="s">
        <v>274</v>
      </c>
    </row>
    <row r="154" customFormat="false" ht="15" hidden="false" customHeight="true" outlineLevel="0" collapsed="false">
      <c r="B154" s="19" t="s">
        <v>275</v>
      </c>
      <c r="C154" s="33" t="n">
        <v>3</v>
      </c>
      <c r="D154" s="2"/>
      <c r="E154" s="21" t="s">
        <v>276</v>
      </c>
    </row>
    <row r="155" customFormat="false" ht="15" hidden="false" customHeight="false" outlineLevel="0" collapsed="false">
      <c r="B155" s="19" t="s">
        <v>277</v>
      </c>
      <c r="C155" s="33" t="n">
        <v>9</v>
      </c>
      <c r="D155" s="2"/>
      <c r="E155" s="2"/>
    </row>
    <row r="156" customFormat="false" ht="15" hidden="false" customHeight="true" outlineLevel="0" collapsed="false">
      <c r="B156" s="19" t="s">
        <v>278</v>
      </c>
      <c r="C156" s="33" t="n">
        <v>24</v>
      </c>
      <c r="D156" s="2"/>
      <c r="E156" s="21" t="s">
        <v>279</v>
      </c>
    </row>
    <row r="157" customFormat="false" ht="15" hidden="false" customHeight="true" outlineLevel="0" collapsed="false">
      <c r="B157" s="19" t="s">
        <v>280</v>
      </c>
      <c r="C157" s="45" t="n">
        <v>556</v>
      </c>
      <c r="D157" s="2"/>
      <c r="E157" s="21" t="s">
        <v>281</v>
      </c>
    </row>
    <row r="159" customFormat="false" ht="15.75" hidden="false" customHeight="true" outlineLevel="0" collapsed="false">
      <c r="B159" s="18" t="s">
        <v>282</v>
      </c>
      <c r="C159" s="18"/>
      <c r="D159" s="18"/>
      <c r="E159" s="18"/>
    </row>
    <row r="160" customFormat="false" ht="15" hidden="false" customHeight="true" outlineLevel="0" collapsed="false">
      <c r="B160" s="19" t="s">
        <v>283</v>
      </c>
      <c r="C160" s="30" t="n">
        <f aca="false">C199</f>
        <v>8155070001.31</v>
      </c>
      <c r="D160" s="2"/>
      <c r="E160" s="21" t="s">
        <v>284</v>
      </c>
    </row>
    <row r="161" customFormat="false" ht="75" hidden="false" customHeight="true" outlineLevel="0" collapsed="false">
      <c r="B161" s="14" t="s">
        <v>285</v>
      </c>
      <c r="C161" s="20" t="n">
        <v>2000700000</v>
      </c>
      <c r="D161" s="2"/>
      <c r="E161" s="21" t="s">
        <v>286</v>
      </c>
    </row>
    <row r="162" customFormat="false" ht="15" hidden="false" customHeight="true" outlineLevel="0" collapsed="false">
      <c r="B162" s="19" t="s">
        <v>287</v>
      </c>
      <c r="C162" s="20" t="n">
        <v>91000000</v>
      </c>
      <c r="D162" s="2"/>
      <c r="E162" s="21" t="s">
        <v>288</v>
      </c>
    </row>
    <row r="163" customFormat="false" ht="24.75" hidden="false" customHeight="true" outlineLevel="0" collapsed="false">
      <c r="B163" s="19" t="s">
        <v>289</v>
      </c>
      <c r="C163" s="20" t="n">
        <v>121000000</v>
      </c>
      <c r="D163" s="2"/>
      <c r="E163" s="21" t="s">
        <v>290</v>
      </c>
    </row>
    <row r="164" customFormat="false" ht="15" hidden="false" customHeight="true" outlineLevel="0" collapsed="false">
      <c r="B164" s="19" t="s">
        <v>291</v>
      </c>
      <c r="C164" s="44" t="n">
        <f aca="false">(C161+C162+C163)/C160</f>
        <v>0.271328143062483</v>
      </c>
      <c r="D164" s="2"/>
      <c r="E164" s="21" t="s">
        <v>292</v>
      </c>
    </row>
    <row r="166" customFormat="false" ht="15" hidden="false" customHeight="false" outlineLevel="0" collapsed="false">
      <c r="B166" s="23" t="s">
        <v>293</v>
      </c>
      <c r="C166" s="41"/>
      <c r="D166" s="41"/>
      <c r="E166" s="41"/>
    </row>
    <row r="167" customFormat="false" ht="15" hidden="false" customHeight="true" outlineLevel="0" collapsed="false">
      <c r="B167" s="19" t="s">
        <v>294</v>
      </c>
      <c r="C167" s="45" t="n">
        <v>464</v>
      </c>
      <c r="D167" s="2"/>
      <c r="E167" s="21" t="s">
        <v>295</v>
      </c>
    </row>
    <row r="168" customFormat="false" ht="15" hidden="false" customHeight="true" outlineLevel="0" collapsed="false">
      <c r="B168" s="19" t="s">
        <v>296</v>
      </c>
      <c r="C168" s="45" t="n">
        <v>17</v>
      </c>
      <c r="D168" s="2"/>
      <c r="E168" s="21" t="s">
        <v>297</v>
      </c>
    </row>
    <row r="169" customFormat="false" ht="15" hidden="false" customHeight="true" outlineLevel="0" collapsed="false">
      <c r="B169" s="19" t="s">
        <v>298</v>
      </c>
      <c r="C169" s="20" t="n">
        <v>3166250</v>
      </c>
      <c r="D169" s="2"/>
      <c r="E169" s="21" t="s">
        <v>299</v>
      </c>
    </row>
    <row r="170" customFormat="false" ht="15" hidden="false" customHeight="true" outlineLevel="0" collapsed="false">
      <c r="B170" s="19" t="s">
        <v>300</v>
      </c>
      <c r="C170" s="20" t="n">
        <v>240000</v>
      </c>
      <c r="D170" s="2"/>
      <c r="E170" s="21" t="s">
        <v>301</v>
      </c>
    </row>
    <row r="171" customFormat="false" ht="15" hidden="false" customHeight="true" outlineLevel="0" collapsed="false">
      <c r="B171" s="19" t="s">
        <v>302</v>
      </c>
      <c r="C171" s="20" t="n">
        <v>720000000</v>
      </c>
      <c r="D171" s="2"/>
      <c r="E171" s="21" t="s">
        <v>303</v>
      </c>
    </row>
    <row r="172" customFormat="false" ht="15" hidden="false" customHeight="true" outlineLevel="0" collapsed="false">
      <c r="B172" s="19" t="s">
        <v>304</v>
      </c>
      <c r="C172" s="30" t="n">
        <f aca="false">(C167-C168)*C169+C171</f>
        <v>2135313750</v>
      </c>
      <c r="D172" s="2"/>
      <c r="E172" s="21" t="s">
        <v>305</v>
      </c>
    </row>
    <row r="173" customFormat="false" ht="27" hidden="false" customHeight="true" outlineLevel="0" collapsed="false">
      <c r="B173" s="14" t="s">
        <v>306</v>
      </c>
      <c r="C173" s="30" t="n">
        <f aca="false">C167*C169</f>
        <v>1469140000</v>
      </c>
      <c r="D173" s="2"/>
      <c r="E173" s="21" t="s">
        <v>307</v>
      </c>
    </row>
    <row r="174" customFormat="false" ht="15" hidden="false" customHeight="true" outlineLevel="0" collapsed="false">
      <c r="B174" s="19" t="s">
        <v>308</v>
      </c>
      <c r="C174" s="30" t="n">
        <f aca="false">C167*C170*12</f>
        <v>1336320000</v>
      </c>
      <c r="D174" s="2"/>
      <c r="E174" s="21" t="s">
        <v>309</v>
      </c>
    </row>
    <row r="175" customFormat="false" ht="15" hidden="false" customHeight="true" outlineLevel="0" collapsed="false">
      <c r="B175" s="19" t="s">
        <v>310</v>
      </c>
      <c r="C175" s="30" t="n">
        <f aca="false">(C49+C143/2)*C150*(1-C151)</f>
        <v>988391692.73445</v>
      </c>
      <c r="D175" s="2"/>
      <c r="E175" s="21" t="s">
        <v>311</v>
      </c>
    </row>
    <row r="176" customFormat="false" ht="34.5" hidden="false" customHeight="true" outlineLevel="0" collapsed="false">
      <c r="B176" s="19" t="s">
        <v>312</v>
      </c>
      <c r="C176" s="30" t="n">
        <f aca="false">(C52*C127-C51)+C53+6*C55+C57</f>
        <v>6767059331.08175</v>
      </c>
      <c r="D176" s="2"/>
      <c r="E176" s="21" t="s">
        <v>313</v>
      </c>
    </row>
    <row r="177" customFormat="false" ht="15" hidden="false" customHeight="true" outlineLevel="0" collapsed="false">
      <c r="B177" s="19" t="s">
        <v>314</v>
      </c>
      <c r="C177" s="30" t="n">
        <f aca="false">C21*C45</f>
        <v>28907854675.13</v>
      </c>
      <c r="D177" s="2"/>
      <c r="E177" s="21" t="s">
        <v>315</v>
      </c>
    </row>
    <row r="178" customFormat="false" ht="15" hidden="false" customHeight="true" outlineLevel="0" collapsed="false">
      <c r="B178" s="19" t="s">
        <v>316</v>
      </c>
      <c r="C178" s="44" t="n">
        <f aca="false">C143/C128</f>
        <v>0.0827385560097088</v>
      </c>
      <c r="D178" s="2"/>
      <c r="E178" s="21" t="s">
        <v>317</v>
      </c>
    </row>
    <row r="179" customFormat="false" ht="15" hidden="false" customHeight="true" outlineLevel="0" collapsed="false">
      <c r="B179" s="19" t="s">
        <v>318</v>
      </c>
      <c r="C179" s="44" t="n">
        <f aca="false">(C143+C177)/C128</f>
        <v>0.413773838029507</v>
      </c>
      <c r="D179" s="2"/>
      <c r="E179" s="21" t="s">
        <v>319</v>
      </c>
    </row>
    <row r="180" customFormat="false" ht="34.5" hidden="false" customHeight="true" outlineLevel="0" collapsed="false">
      <c r="B180" s="19" t="s">
        <v>320</v>
      </c>
      <c r="C180" s="44" t="n">
        <f aca="false">(C143+C176+C172+C228+C177+C240+C260+C271+C273+C281-C296)/C128</f>
        <v>0.518410143945012</v>
      </c>
      <c r="D180" s="2"/>
      <c r="E180" s="21" t="s">
        <v>321</v>
      </c>
    </row>
    <row r="181" customFormat="false" ht="15" hidden="false" customHeight="true" outlineLevel="0" collapsed="false">
      <c r="B181" s="19" t="s">
        <v>322</v>
      </c>
      <c r="C181" s="44" t="n">
        <f aca="false">1-C180</f>
        <v>0.481589856054988</v>
      </c>
      <c r="D181" s="2"/>
      <c r="E181" s="21" t="s">
        <v>323</v>
      </c>
    </row>
    <row r="182" customFormat="false" ht="27" hidden="false" customHeight="true" outlineLevel="0" collapsed="false">
      <c r="B182" s="14" t="s">
        <v>324</v>
      </c>
      <c r="C182" s="44" t="n">
        <f aca="false">C181-(C174+C175+C296-C298)/C128</f>
        <v>0.446943328129676</v>
      </c>
      <c r="D182" s="2"/>
      <c r="E182" s="21" t="s">
        <v>325</v>
      </c>
    </row>
    <row r="184" customFormat="false" ht="15" hidden="false" customHeight="false" outlineLevel="0" collapsed="false">
      <c r="B184" s="23" t="s">
        <v>326</v>
      </c>
      <c r="C184" s="41"/>
      <c r="D184" s="41"/>
      <c r="E184" s="41"/>
    </row>
    <row r="185" customFormat="false" ht="24.75" hidden="false" customHeight="true" outlineLevel="0" collapsed="false">
      <c r="B185" s="19" t="s">
        <v>327</v>
      </c>
      <c r="C185" s="31" t="n">
        <v>0.015</v>
      </c>
      <c r="D185" s="2"/>
      <c r="E185" s="21" t="s">
        <v>328</v>
      </c>
    </row>
    <row r="186" customFormat="false" ht="15" hidden="false" customHeight="true" outlineLevel="0" collapsed="false">
      <c r="B186" s="19" t="s">
        <v>329</v>
      </c>
      <c r="C186" s="20" t="n">
        <v>3100000</v>
      </c>
      <c r="D186" s="2"/>
      <c r="E186" s="21" t="s">
        <v>330</v>
      </c>
    </row>
    <row r="188" customFormat="false" ht="15.75" hidden="false" customHeight="true" outlineLevel="0" collapsed="false">
      <c r="B188" s="18" t="s">
        <v>331</v>
      </c>
      <c r="C188" s="18"/>
      <c r="D188" s="18"/>
      <c r="E188" s="18"/>
    </row>
    <row r="189" customFormat="false" ht="15" hidden="false" customHeight="true" outlineLevel="0" collapsed="false">
      <c r="B189" s="19" t="s">
        <v>332</v>
      </c>
      <c r="C189" s="20" t="n">
        <v>4571068290.21</v>
      </c>
      <c r="D189" s="2"/>
      <c r="E189" s="21" t="s">
        <v>333</v>
      </c>
    </row>
    <row r="190" customFormat="false" ht="15" hidden="false" customHeight="false" outlineLevel="0" collapsed="false">
      <c r="B190" s="19" t="s">
        <v>334</v>
      </c>
      <c r="C190" s="20" t="n">
        <v>726703843.49</v>
      </c>
      <c r="D190" s="2"/>
      <c r="E190" s="2"/>
    </row>
    <row r="191" customFormat="false" ht="15" hidden="false" customHeight="false" outlineLevel="0" collapsed="false">
      <c r="B191" s="19" t="s">
        <v>335</v>
      </c>
      <c r="C191" s="20" t="n">
        <v>32551822739.17</v>
      </c>
      <c r="D191" s="2"/>
      <c r="E191" s="2"/>
    </row>
    <row r="192" customFormat="false" ht="15" hidden="false" customHeight="false" outlineLevel="0" collapsed="false">
      <c r="B192" s="19" t="s">
        <v>336</v>
      </c>
      <c r="C192" s="20" t="n">
        <v>4040041713.91</v>
      </c>
      <c r="D192" s="2"/>
      <c r="E192" s="2"/>
    </row>
    <row r="193" customFormat="false" ht="15" hidden="false" customHeight="false" outlineLevel="0" collapsed="false">
      <c r="B193" s="19" t="s">
        <v>337</v>
      </c>
      <c r="C193" s="20" t="n">
        <v>2241064072.7</v>
      </c>
      <c r="D193" s="2"/>
      <c r="E193" s="2"/>
    </row>
    <row r="194" customFormat="false" ht="15" hidden="false" customHeight="false" outlineLevel="0" collapsed="false">
      <c r="B194" s="19" t="s">
        <v>338</v>
      </c>
      <c r="C194" s="20" t="n">
        <v>267333862.93</v>
      </c>
      <c r="D194" s="2"/>
      <c r="E194" s="2"/>
    </row>
    <row r="195" customFormat="false" ht="15" hidden="false" customHeight="false" outlineLevel="0" collapsed="false">
      <c r="B195" s="19" t="s">
        <v>339</v>
      </c>
      <c r="C195" s="20" t="n">
        <v>32446010425.66</v>
      </c>
      <c r="D195" s="2"/>
      <c r="E195" s="2"/>
    </row>
    <row r="196" customFormat="false" ht="15" hidden="false" customHeight="false" outlineLevel="0" collapsed="false">
      <c r="B196" s="19" t="s">
        <v>340</v>
      </c>
      <c r="C196" s="20" t="n">
        <v>78217069372.33</v>
      </c>
      <c r="D196" s="2"/>
      <c r="E196" s="2"/>
    </row>
    <row r="197" customFormat="false" ht="15" hidden="false" customHeight="false" outlineLevel="0" collapsed="false">
      <c r="B197" s="19" t="s">
        <v>341</v>
      </c>
      <c r="C197" s="20" t="n">
        <v>5914489308.16</v>
      </c>
      <c r="D197" s="2"/>
      <c r="E197" s="2"/>
    </row>
    <row r="198" customFormat="false" ht="15" hidden="false" customHeight="false" outlineLevel="0" collapsed="false">
      <c r="B198" s="19" t="s">
        <v>342</v>
      </c>
      <c r="C198" s="20" t="n">
        <v>13986341015.32</v>
      </c>
      <c r="D198" s="2"/>
      <c r="E198" s="2"/>
    </row>
    <row r="199" customFormat="false" ht="15" hidden="false" customHeight="false" outlineLevel="0" collapsed="false">
      <c r="B199" s="19" t="s">
        <v>343</v>
      </c>
      <c r="C199" s="20" t="n">
        <v>8155070001.31</v>
      </c>
      <c r="D199" s="2"/>
      <c r="E199" s="2"/>
    </row>
    <row r="200" customFormat="false" ht="15" hidden="false" customHeight="false" outlineLevel="0" collapsed="false">
      <c r="B200" s="19" t="s">
        <v>344</v>
      </c>
      <c r="C200" s="20" t="n">
        <v>170314500.62</v>
      </c>
      <c r="D200" s="2"/>
      <c r="E200" s="2"/>
    </row>
    <row r="201" customFormat="false" ht="15" hidden="false" customHeight="false" outlineLevel="0" collapsed="false">
      <c r="B201" s="19" t="s">
        <v>345</v>
      </c>
      <c r="C201" s="20" t="n">
        <v>12335648700.58</v>
      </c>
      <c r="D201" s="2"/>
      <c r="E201" s="2"/>
    </row>
    <row r="202" customFormat="false" ht="15" hidden="false" customHeight="false" outlineLevel="0" collapsed="false">
      <c r="B202" s="19" t="s">
        <v>346</v>
      </c>
      <c r="C202" s="20" t="n">
        <v>3320175803.51</v>
      </c>
      <c r="D202" s="2"/>
      <c r="E202" s="2"/>
    </row>
    <row r="203" customFormat="false" ht="15" hidden="false" customHeight="false" outlineLevel="0" collapsed="false">
      <c r="B203" s="19" t="s">
        <v>347</v>
      </c>
      <c r="C203" s="20" t="n">
        <v>70310298420.88</v>
      </c>
      <c r="D203" s="2"/>
      <c r="E203" s="2"/>
    </row>
    <row r="204" customFormat="false" ht="15" hidden="false" customHeight="false" outlineLevel="0" collapsed="false">
      <c r="B204" s="19" t="s">
        <v>348</v>
      </c>
      <c r="C204" s="20" t="n">
        <v>36356305741.94</v>
      </c>
      <c r="D204" s="2"/>
      <c r="E204" s="2"/>
    </row>
    <row r="205" customFormat="false" ht="15" hidden="false" customHeight="false" outlineLevel="0" collapsed="false">
      <c r="B205" s="19" t="s">
        <v>349</v>
      </c>
      <c r="C205" s="20" t="n">
        <v>1410068521.98</v>
      </c>
      <c r="D205" s="2"/>
      <c r="E205" s="2"/>
    </row>
    <row r="206" customFormat="false" ht="15" hidden="false" customHeight="false" outlineLevel="0" collapsed="false">
      <c r="B206" s="19" t="s">
        <v>350</v>
      </c>
      <c r="C206" s="20" t="n">
        <v>2216003645.85</v>
      </c>
      <c r="D206" s="2"/>
      <c r="E206" s="2"/>
    </row>
    <row r="207" customFormat="false" ht="15" hidden="false" customHeight="false" outlineLevel="0" collapsed="false">
      <c r="B207" s="19" t="s">
        <v>351</v>
      </c>
      <c r="C207" s="20" t="n">
        <v>14898030035.79</v>
      </c>
      <c r="D207" s="2"/>
      <c r="E207" s="2"/>
    </row>
    <row r="208" customFormat="false" ht="15" hidden="false" customHeight="true" outlineLevel="0" collapsed="false">
      <c r="B208" s="46" t="s">
        <v>352</v>
      </c>
      <c r="C208" s="30" t="n">
        <f aca="false">SUM(C189:C207)</f>
        <v>324133860016.34</v>
      </c>
      <c r="D208" s="2"/>
      <c r="E208" s="21" t="s">
        <v>353</v>
      </c>
    </row>
    <row r="210" customFormat="false" ht="15" hidden="false" customHeight="false" outlineLevel="0" collapsed="false">
      <c r="B210" s="23" t="s">
        <v>354</v>
      </c>
      <c r="C210" s="41"/>
      <c r="D210" s="41"/>
      <c r="E210" s="41"/>
    </row>
    <row r="211" customFormat="false" ht="15" hidden="false" customHeight="true" outlineLevel="0" collapsed="false">
      <c r="B211" s="19" t="s">
        <v>355</v>
      </c>
      <c r="C211" s="20" t="n">
        <v>14654788589.44</v>
      </c>
      <c r="D211" s="2"/>
      <c r="E211" s="21" t="s">
        <v>356</v>
      </c>
    </row>
    <row r="212" customFormat="false" ht="15" hidden="false" customHeight="false" outlineLevel="0" collapsed="false">
      <c r="B212" s="19" t="s">
        <v>357</v>
      </c>
      <c r="C212" s="20" t="n">
        <v>2688842043.13</v>
      </c>
      <c r="D212" s="2"/>
      <c r="E212" s="2"/>
    </row>
    <row r="213" customFormat="false" ht="15" hidden="false" customHeight="false" outlineLevel="0" collapsed="false">
      <c r="B213" s="19" t="s">
        <v>358</v>
      </c>
      <c r="C213" s="20" t="n">
        <v>7406224850.59</v>
      </c>
      <c r="D213" s="2"/>
      <c r="E213" s="2"/>
    </row>
    <row r="214" customFormat="false" ht="15" hidden="false" customHeight="true" outlineLevel="0" collapsed="false">
      <c r="B214" s="19" t="s">
        <v>359</v>
      </c>
      <c r="C214" s="47" t="n">
        <f aca="false">C176/SUM(C211:C213)</f>
        <v>0.273418135135622</v>
      </c>
      <c r="D214" s="2"/>
      <c r="E214" s="21" t="s">
        <v>360</v>
      </c>
    </row>
    <row r="216" customFormat="false" ht="15.75" hidden="false" customHeight="true" outlineLevel="0" collapsed="false">
      <c r="B216" s="18" t="s">
        <v>361</v>
      </c>
      <c r="C216" s="18"/>
      <c r="D216" s="18"/>
      <c r="E216" s="18"/>
    </row>
    <row r="217" customFormat="false" ht="24.75" hidden="false" customHeight="true" outlineLevel="0" collapsed="false">
      <c r="B217" s="19" t="s">
        <v>362</v>
      </c>
      <c r="C217" s="31" t="n">
        <v>0.727366</v>
      </c>
      <c r="D217" s="2"/>
      <c r="E217" s="21" t="s">
        <v>363</v>
      </c>
    </row>
    <row r="218" customFormat="false" ht="15" hidden="false" customHeight="true" outlineLevel="0" collapsed="false">
      <c r="B218" s="19" t="s">
        <v>364</v>
      </c>
      <c r="C218" s="30" t="n">
        <f aca="false">C134*C217</f>
        <v>1190354496.47857</v>
      </c>
      <c r="D218" s="2"/>
      <c r="E218" s="21" t="s">
        <v>365</v>
      </c>
    </row>
    <row r="219" customFormat="false" ht="15" hidden="false" customHeight="true" outlineLevel="0" collapsed="false">
      <c r="B219" s="19" t="s">
        <v>366</v>
      </c>
      <c r="C219" s="30" t="n">
        <f aca="false">C143/4</f>
        <v>1806298514.89344</v>
      </c>
      <c r="D219" s="2"/>
      <c r="E219" s="21" t="s">
        <v>367</v>
      </c>
    </row>
    <row r="220" customFormat="false" ht="15" hidden="false" customHeight="true" outlineLevel="0" collapsed="false">
      <c r="B220" s="19" t="s">
        <v>368</v>
      </c>
      <c r="C220" s="30" t="n">
        <f aca="false">C218-C219</f>
        <v>-615944018.41487</v>
      </c>
      <c r="D220" s="2"/>
      <c r="E220" s="21" t="s">
        <v>369</v>
      </c>
    </row>
    <row r="221" customFormat="false" ht="15" hidden="false" customHeight="true" outlineLevel="0" collapsed="false">
      <c r="B221" s="19" t="s">
        <v>370</v>
      </c>
      <c r="C221" s="30" t="n">
        <f aca="false">'Resumen anual'!C33-MAX(0,C134-C219)+MAX(0,C218-C219)</f>
        <v>1576117703.59821</v>
      </c>
      <c r="D221" s="2"/>
      <c r="E221" s="21" t="s">
        <v>371</v>
      </c>
    </row>
    <row r="222" customFormat="false" ht="15" hidden="false" customHeight="false" outlineLevel="0" collapsed="false">
      <c r="B222" s="19" t="s">
        <v>372</v>
      </c>
      <c r="C222" s="30" t="n">
        <f aca="false">'Resumen anual'!C68</f>
        <v>1576117703.59821</v>
      </c>
      <c r="D222" s="2"/>
      <c r="E222" s="2"/>
    </row>
    <row r="223" customFormat="false" ht="15" hidden="false" customHeight="true" outlineLevel="0" collapsed="false">
      <c r="B223" s="19" t="s">
        <v>373</v>
      </c>
      <c r="C223" s="30" t="n">
        <f aca="false">MAX(0,C219-C218)</f>
        <v>615944018.41487</v>
      </c>
      <c r="D223" s="2"/>
      <c r="E223" s="21" t="s">
        <v>374</v>
      </c>
    </row>
    <row r="224" customFormat="false" ht="15.75" hidden="false" customHeight="true" outlineLevel="0" collapsed="false">
      <c r="B224" s="18" t="s">
        <v>375</v>
      </c>
      <c r="C224" s="18"/>
      <c r="D224" s="18"/>
      <c r="E224" s="18"/>
    </row>
    <row r="225" customFormat="false" ht="24.75" hidden="false" customHeight="true" outlineLevel="0" collapsed="false">
      <c r="B225" s="19" t="s">
        <v>376</v>
      </c>
      <c r="C225" s="45" t="n">
        <v>100</v>
      </c>
      <c r="D225" s="2"/>
      <c r="E225" s="21" t="s">
        <v>377</v>
      </c>
    </row>
    <row r="226" customFormat="false" ht="15" hidden="false" customHeight="true" outlineLevel="0" collapsed="false">
      <c r="B226" s="19" t="s">
        <v>378</v>
      </c>
      <c r="C226" s="20" t="n">
        <v>427806.54</v>
      </c>
      <c r="D226" s="2"/>
      <c r="E226" s="21" t="s">
        <v>379</v>
      </c>
    </row>
    <row r="227" customFormat="false" ht="15" hidden="false" customHeight="true" outlineLevel="0" collapsed="false">
      <c r="B227" s="19" t="s">
        <v>380</v>
      </c>
      <c r="C227" s="35" t="n">
        <v>0.20075</v>
      </c>
      <c r="D227" s="2"/>
      <c r="E227" s="21" t="s">
        <v>381</v>
      </c>
    </row>
    <row r="228" customFormat="false" ht="15" hidden="false" customHeight="true" outlineLevel="0" collapsed="false">
      <c r="B228" s="19" t="s">
        <v>382</v>
      </c>
      <c r="C228" s="30" t="n">
        <f aca="false">C225*C226*(1+C227)*13</f>
        <v>667795313.7765</v>
      </c>
      <c r="D228" s="2"/>
      <c r="E228" s="21" t="s">
        <v>383</v>
      </c>
    </row>
    <row r="230" customFormat="false" ht="15" hidden="false" customHeight="true" outlineLevel="0" collapsed="false">
      <c r="B230" s="19" t="s">
        <v>384</v>
      </c>
      <c r="C230" s="20" t="n">
        <v>313491221</v>
      </c>
      <c r="D230" s="2"/>
      <c r="E230" s="21" t="s">
        <v>385</v>
      </c>
    </row>
    <row r="231" customFormat="false" ht="15" hidden="false" customHeight="true" outlineLevel="0" collapsed="false">
      <c r="B231" s="19" t="s">
        <v>386</v>
      </c>
      <c r="C231" s="20" t="n">
        <v>137091891</v>
      </c>
      <c r="D231" s="2"/>
      <c r="E231" s="21" t="s">
        <v>387</v>
      </c>
    </row>
    <row r="232" customFormat="false" ht="15" hidden="false" customHeight="true" outlineLevel="0" collapsed="false">
      <c r="B232" s="19" t="s">
        <v>388</v>
      </c>
      <c r="C232" s="20" t="n">
        <v>39502616</v>
      </c>
      <c r="D232" s="2"/>
      <c r="E232" s="21" t="s">
        <v>389</v>
      </c>
    </row>
    <row r="233" customFormat="false" ht="24.75" hidden="false" customHeight="true" outlineLevel="0" collapsed="false">
      <c r="B233" s="19" t="s">
        <v>390</v>
      </c>
      <c r="C233" s="20" t="n">
        <v>0</v>
      </c>
      <c r="D233" s="2"/>
      <c r="E233" s="21" t="s">
        <v>391</v>
      </c>
    </row>
    <row r="234" customFormat="false" ht="15" hidden="false" customHeight="false" outlineLevel="0" collapsed="false">
      <c r="B234" s="2"/>
      <c r="C234" s="2"/>
      <c r="D234" s="2"/>
      <c r="E234" s="2"/>
    </row>
    <row r="235" customFormat="false" ht="15" hidden="false" customHeight="true" outlineLevel="0" collapsed="false">
      <c r="B235" s="19" t="s">
        <v>392</v>
      </c>
      <c r="C235" s="20" t="n">
        <v>8318978</v>
      </c>
      <c r="D235" s="2"/>
      <c r="E235" s="21" t="s">
        <v>393</v>
      </c>
    </row>
    <row r="236" customFormat="false" ht="15" hidden="false" customHeight="true" outlineLevel="0" collapsed="false">
      <c r="B236" s="48" t="s">
        <v>394</v>
      </c>
      <c r="C236" s="48"/>
      <c r="D236" s="48"/>
      <c r="E236" s="48"/>
    </row>
    <row r="238" customFormat="false" ht="45" hidden="false" customHeight="true" outlineLevel="0" collapsed="false">
      <c r="B238" s="19" t="s">
        <v>395</v>
      </c>
      <c r="C238" s="20" t="n">
        <v>335000000</v>
      </c>
      <c r="D238" s="2"/>
      <c r="E238" s="21" t="s">
        <v>396</v>
      </c>
    </row>
    <row r="240" customFormat="false" ht="34.5" hidden="false" customHeight="true" outlineLevel="0" collapsed="false">
      <c r="B240" s="19" t="s">
        <v>397</v>
      </c>
      <c r="C240" s="20" t="n">
        <v>395416610</v>
      </c>
      <c r="D240" s="2"/>
      <c r="E240" s="21" t="s">
        <v>398</v>
      </c>
    </row>
    <row r="241" customFormat="false" ht="27" hidden="false" customHeight="true" outlineLevel="0" collapsed="false">
      <c r="B241" s="14" t="s">
        <v>399</v>
      </c>
      <c r="C241" s="30" t="n">
        <f aca="false">C243+C245+C247</f>
        <v>717052200</v>
      </c>
      <c r="D241" s="2"/>
      <c r="E241" s="21" t="s">
        <v>400</v>
      </c>
    </row>
    <row r="243" customFormat="false" ht="15" hidden="false" customHeight="true" outlineLevel="0" collapsed="false">
      <c r="B243" s="19" t="s">
        <v>401</v>
      </c>
      <c r="C243" s="20" t="n">
        <v>267777400</v>
      </c>
      <c r="D243" s="2"/>
      <c r="E243" s="21" t="s">
        <v>402</v>
      </c>
    </row>
    <row r="244" customFormat="false" ht="15" hidden="false" customHeight="true" outlineLevel="0" collapsed="false">
      <c r="B244" s="19" t="s">
        <v>403</v>
      </c>
      <c r="C244" s="20" t="n">
        <v>136118870</v>
      </c>
      <c r="D244" s="2"/>
      <c r="E244" s="21" t="s">
        <v>404</v>
      </c>
    </row>
    <row r="245" customFormat="false" ht="15" hidden="false" customHeight="true" outlineLevel="0" collapsed="false">
      <c r="B245" s="19" t="s">
        <v>405</v>
      </c>
      <c r="C245" s="20" t="n">
        <v>224637400</v>
      </c>
      <c r="D245" s="2"/>
      <c r="E245" s="21" t="s">
        <v>406</v>
      </c>
    </row>
    <row r="246" customFormat="false" ht="15" hidden="false" customHeight="true" outlineLevel="0" collapsed="false">
      <c r="B246" s="19" t="s">
        <v>407</v>
      </c>
      <c r="C246" s="20" t="n">
        <v>265767740</v>
      </c>
      <c r="D246" s="2"/>
      <c r="E246" s="21" t="s">
        <v>408</v>
      </c>
    </row>
    <row r="247" customFormat="false" ht="24.75" hidden="false" customHeight="true" outlineLevel="0" collapsed="false">
      <c r="B247" s="19" t="s">
        <v>409</v>
      </c>
      <c r="C247" s="20" t="n">
        <v>224637400</v>
      </c>
      <c r="D247" s="2"/>
      <c r="E247" s="21" t="s">
        <v>410</v>
      </c>
    </row>
    <row r="249" customFormat="false" ht="15.75" hidden="false" customHeight="true" outlineLevel="0" collapsed="false">
      <c r="B249" s="18" t="s">
        <v>411</v>
      </c>
      <c r="C249" s="18"/>
      <c r="D249" s="18"/>
      <c r="E249" s="18"/>
    </row>
    <row r="250" customFormat="false" ht="15" hidden="false" customHeight="true" outlineLevel="0" collapsed="false">
      <c r="B250" s="19" t="s">
        <v>412</v>
      </c>
      <c r="C250" s="20" t="n">
        <v>112987300000</v>
      </c>
      <c r="D250" s="2"/>
      <c r="E250" s="21" t="s">
        <v>413</v>
      </c>
    </row>
    <row r="251" customFormat="false" ht="15" hidden="false" customHeight="true" outlineLevel="0" collapsed="false">
      <c r="B251" s="19" t="s">
        <v>414</v>
      </c>
      <c r="C251" s="20" t="n">
        <v>83572600000</v>
      </c>
      <c r="D251" s="2"/>
      <c r="E251" s="21" t="s">
        <v>415</v>
      </c>
    </row>
    <row r="252" customFormat="false" ht="24.75" hidden="false" customHeight="true" outlineLevel="0" collapsed="false">
      <c r="B252" s="19" t="s">
        <v>416</v>
      </c>
      <c r="C252" s="26" t="n">
        <f aca="false">C251/C250</f>
        <v>0.739663661314148</v>
      </c>
      <c r="D252" s="2"/>
      <c r="E252" s="21" t="s">
        <v>417</v>
      </c>
    </row>
    <row r="253" customFormat="false" ht="15" hidden="false" customHeight="true" outlineLevel="0" collapsed="false">
      <c r="B253" s="19" t="s">
        <v>418</v>
      </c>
      <c r="C253" s="30" t="n">
        <f aca="false">MAX(0,C143*1/4-IF(C142=1,C138,C134))</f>
        <v>169770966.893438</v>
      </c>
      <c r="D253" s="2"/>
      <c r="E253" s="21" t="s">
        <v>419</v>
      </c>
    </row>
    <row r="254" customFormat="false" ht="15" hidden="false" customHeight="true" outlineLevel="0" collapsed="false">
      <c r="B254" s="19" t="s">
        <v>420</v>
      </c>
      <c r="C254" s="30" t="n">
        <f aca="false">MAX(0,C143*2/4-IF(C142=1,C139,C135))</f>
        <v>0</v>
      </c>
      <c r="D254" s="2"/>
      <c r="E254" s="21" t="s">
        <v>421</v>
      </c>
    </row>
    <row r="255" customFormat="false" ht="15" hidden="false" customHeight="true" outlineLevel="0" collapsed="false">
      <c r="B255" s="19" t="s">
        <v>422</v>
      </c>
      <c r="C255" s="30" t="n">
        <f aca="false">MAX(0,C143*3/4-IF(C142=1,C140,C136))</f>
        <v>0</v>
      </c>
      <c r="D255" s="2"/>
      <c r="E255" s="21" t="s">
        <v>423</v>
      </c>
    </row>
    <row r="256" customFormat="false" ht="15" hidden="false" customHeight="true" outlineLevel="0" collapsed="false">
      <c r="B256" s="19" t="s">
        <v>424</v>
      </c>
      <c r="C256" s="30" t="n">
        <f aca="false">MAX(0,C143-IF(C142=1,C141,C137))</f>
        <v>1241967586.57375</v>
      </c>
      <c r="D256" s="2"/>
      <c r="E256" s="21" t="s">
        <v>425</v>
      </c>
    </row>
    <row r="257" customFormat="false" ht="15" hidden="false" customHeight="true" outlineLevel="0" collapsed="false">
      <c r="B257" s="19" t="s">
        <v>426</v>
      </c>
      <c r="C257" s="44" t="n">
        <f aca="false">C256/C128</f>
        <v>0.014222262250218</v>
      </c>
      <c r="D257" s="2"/>
      <c r="E257" s="21" t="s">
        <v>427</v>
      </c>
    </row>
    <row r="259" customFormat="false" ht="15" hidden="false" customHeight="false" outlineLevel="0" collapsed="false">
      <c r="B259" s="23" t="s">
        <v>428</v>
      </c>
      <c r="C259" s="41"/>
      <c r="D259" s="41"/>
      <c r="E259" s="41"/>
    </row>
    <row r="260" customFormat="false" ht="34.5" hidden="false" customHeight="true" outlineLevel="0" collapsed="false">
      <c r="B260" s="19" t="s">
        <v>429</v>
      </c>
      <c r="C260" s="20" t="n">
        <v>23536080</v>
      </c>
      <c r="D260" s="2"/>
      <c r="E260" s="21" t="s">
        <v>430</v>
      </c>
    </row>
    <row r="261" customFormat="false" ht="34.5" hidden="false" customHeight="true" outlineLevel="0" collapsed="false">
      <c r="B261" s="19" t="s">
        <v>431</v>
      </c>
      <c r="C261" s="20" t="n">
        <v>354000000</v>
      </c>
      <c r="D261" s="2"/>
      <c r="E261" s="21" t="s">
        <v>432</v>
      </c>
    </row>
    <row r="262" customFormat="false" ht="27" hidden="false" customHeight="true" outlineLevel="0" collapsed="false">
      <c r="B262" s="14" t="s">
        <v>433</v>
      </c>
      <c r="C262" s="20" t="n">
        <v>31700000</v>
      </c>
      <c r="D262" s="2"/>
      <c r="E262" s="21" t="s">
        <v>434</v>
      </c>
    </row>
    <row r="263" customFormat="false" ht="34.5" hidden="false" customHeight="true" outlineLevel="0" collapsed="false">
      <c r="B263" s="19" t="s">
        <v>435</v>
      </c>
      <c r="C263" s="20" t="n">
        <v>791000000</v>
      </c>
      <c r="D263" s="2"/>
      <c r="E263" s="21" t="s">
        <v>436</v>
      </c>
    </row>
    <row r="264" customFormat="false" ht="24.75" hidden="false" customHeight="true" outlineLevel="0" collapsed="false">
      <c r="B264" s="19" t="s">
        <v>437</v>
      </c>
      <c r="C264" s="20" t="n">
        <v>454000000</v>
      </c>
      <c r="D264" s="2"/>
      <c r="E264" s="21" t="s">
        <v>438</v>
      </c>
    </row>
    <row r="265" customFormat="false" ht="27" hidden="false" customHeight="true" outlineLevel="0" collapsed="false">
      <c r="B265" s="14" t="s">
        <v>439</v>
      </c>
      <c r="C265" s="31" t="n">
        <v>0.37</v>
      </c>
      <c r="D265" s="2"/>
      <c r="E265" s="21" t="s">
        <v>440</v>
      </c>
    </row>
    <row r="266" customFormat="false" ht="24.75" hidden="false" customHeight="true" outlineLevel="0" collapsed="false">
      <c r="B266" s="19" t="s">
        <v>441</v>
      </c>
      <c r="C266" s="20" t="n">
        <v>201350</v>
      </c>
      <c r="D266" s="2"/>
      <c r="E266" s="21" t="s">
        <v>442</v>
      </c>
    </row>
    <row r="268" customFormat="false" ht="15.75" hidden="false" customHeight="true" outlineLevel="0" collapsed="false">
      <c r="B268" s="18" t="s">
        <v>443</v>
      </c>
      <c r="C268" s="18"/>
      <c r="D268" s="18"/>
      <c r="E268" s="18"/>
    </row>
    <row r="269" customFormat="false" ht="24.75" hidden="false" customHeight="true" outlineLevel="0" collapsed="false">
      <c r="B269" s="19" t="s">
        <v>444</v>
      </c>
      <c r="C269" s="20" t="n">
        <v>323000000</v>
      </c>
      <c r="D269" s="2"/>
      <c r="E269" s="21" t="s">
        <v>445</v>
      </c>
    </row>
    <row r="270" customFormat="false" ht="15" hidden="false" customHeight="true" outlineLevel="0" collapsed="false">
      <c r="B270" s="19" t="s">
        <v>446</v>
      </c>
      <c r="C270" s="44" t="n">
        <f aca="false">C269/C128</f>
        <v>0.00369880080324273</v>
      </c>
      <c r="D270" s="2"/>
      <c r="E270" s="21" t="s">
        <v>447</v>
      </c>
    </row>
    <row r="271" customFormat="false" ht="34.5" hidden="false" customHeight="true" outlineLevel="0" collapsed="false">
      <c r="B271" s="14" t="s">
        <v>448</v>
      </c>
      <c r="C271" s="20" t="n">
        <v>108280000</v>
      </c>
      <c r="D271" s="2"/>
      <c r="E271" s="21" t="s">
        <v>449</v>
      </c>
    </row>
    <row r="272" customFormat="false" ht="27" hidden="false" customHeight="true" outlineLevel="0" collapsed="false">
      <c r="B272" s="14" t="s">
        <v>450</v>
      </c>
      <c r="C272" s="20" t="n">
        <v>93760000</v>
      </c>
      <c r="D272" s="2"/>
      <c r="E272" s="21" t="s">
        <v>451</v>
      </c>
    </row>
    <row r="273" customFormat="false" ht="24.75" hidden="false" customHeight="true" outlineLevel="0" collapsed="false">
      <c r="B273" s="19" t="s">
        <v>452</v>
      </c>
      <c r="C273" s="20" t="n">
        <v>5900000</v>
      </c>
      <c r="D273" s="2"/>
      <c r="E273" s="21" t="s">
        <v>453</v>
      </c>
    </row>
    <row r="274" customFormat="false" ht="15.75" hidden="false" customHeight="true" outlineLevel="0" collapsed="false">
      <c r="B274" s="18" t="s">
        <v>454</v>
      </c>
      <c r="C274" s="18"/>
      <c r="D274" s="18"/>
      <c r="E274" s="18"/>
    </row>
    <row r="275" customFormat="false" ht="27" hidden="false" customHeight="true" outlineLevel="0" collapsed="false">
      <c r="B275" s="14" t="s">
        <v>455</v>
      </c>
      <c r="C275" s="20" t="n">
        <v>3818583182</v>
      </c>
      <c r="D275" s="2"/>
      <c r="E275" s="21" t="s">
        <v>456</v>
      </c>
    </row>
    <row r="276" customFormat="false" ht="15" hidden="false" customHeight="true" outlineLevel="0" collapsed="false">
      <c r="B276" s="19" t="s">
        <v>457</v>
      </c>
      <c r="C276" s="20" t="n">
        <v>4420261601</v>
      </c>
      <c r="D276" s="2"/>
      <c r="E276" s="21" t="s">
        <v>458</v>
      </c>
    </row>
    <row r="277" customFormat="false" ht="27" hidden="false" customHeight="true" outlineLevel="0" collapsed="false">
      <c r="B277" s="14" t="s">
        <v>459</v>
      </c>
      <c r="C277" s="20" t="n">
        <v>7199058415</v>
      </c>
      <c r="D277" s="2"/>
      <c r="E277" s="21" t="s">
        <v>460</v>
      </c>
    </row>
    <row r="278" customFormat="false" ht="27" hidden="false" customHeight="true" outlineLevel="0" collapsed="false">
      <c r="B278" s="14" t="s">
        <v>461</v>
      </c>
      <c r="C278" s="30" t="n">
        <f aca="false">C277-C276</f>
        <v>2778796814</v>
      </c>
      <c r="D278" s="2"/>
      <c r="E278" s="21" t="s">
        <v>462</v>
      </c>
    </row>
    <row r="280" customFormat="false" ht="15.75" hidden="false" customHeight="true" outlineLevel="0" collapsed="false">
      <c r="B280" s="18" t="s">
        <v>463</v>
      </c>
      <c r="C280" s="18"/>
      <c r="D280" s="18"/>
      <c r="E280" s="18"/>
    </row>
    <row r="281" customFormat="false" ht="54.75" hidden="false" customHeight="true" outlineLevel="0" collapsed="false">
      <c r="B281" s="14" t="s">
        <v>464</v>
      </c>
      <c r="C281" s="20" t="n">
        <v>394000000</v>
      </c>
      <c r="D281" s="2"/>
      <c r="E281" s="21" t="s">
        <v>465</v>
      </c>
    </row>
    <row r="282" customFormat="false" ht="34.5" hidden="false" customHeight="true" outlineLevel="0" collapsed="false">
      <c r="B282" s="14" t="s">
        <v>466</v>
      </c>
      <c r="C282" s="20" t="n">
        <v>138800000</v>
      </c>
      <c r="D282" s="2"/>
      <c r="E282" s="21" t="s">
        <v>467</v>
      </c>
    </row>
    <row r="283" customFormat="false" ht="24.75" hidden="false" customHeight="true" outlineLevel="0" collapsed="false">
      <c r="B283" s="19" t="s">
        <v>468</v>
      </c>
      <c r="C283" s="20" t="n">
        <v>532000000</v>
      </c>
      <c r="D283" s="2"/>
      <c r="E283" s="21" t="s">
        <v>469</v>
      </c>
    </row>
    <row r="285" customFormat="false" ht="15.75" hidden="false" customHeight="true" outlineLevel="0" collapsed="false">
      <c r="B285" s="18" t="s">
        <v>470</v>
      </c>
      <c r="C285" s="18"/>
      <c r="D285" s="18"/>
      <c r="E285" s="18"/>
    </row>
    <row r="286" customFormat="false" ht="27" hidden="false" customHeight="true" outlineLevel="0" collapsed="false">
      <c r="B286" s="14" t="s">
        <v>471</v>
      </c>
      <c r="C286" s="20" t="n">
        <v>2564050000</v>
      </c>
      <c r="D286" s="2"/>
      <c r="E286" s="21" t="s">
        <v>472</v>
      </c>
    </row>
    <row r="287" customFormat="false" ht="24.75" hidden="false" customHeight="true" outlineLevel="0" collapsed="false">
      <c r="B287" s="19" t="s">
        <v>473</v>
      </c>
      <c r="C287" s="45" t="n">
        <v>20000</v>
      </c>
      <c r="D287" s="2"/>
      <c r="E287" s="21" t="s">
        <v>474</v>
      </c>
    </row>
    <row r="288" customFormat="false" ht="24.75" hidden="false" customHeight="true" outlineLevel="0" collapsed="false">
      <c r="B288" s="19" t="s">
        <v>475</v>
      </c>
      <c r="C288" s="49" t="n">
        <v>86.05</v>
      </c>
      <c r="D288" s="2"/>
      <c r="E288" s="21" t="s">
        <v>476</v>
      </c>
    </row>
    <row r="289" customFormat="false" ht="15" hidden="false" customHeight="false" outlineLevel="0" collapsed="false">
      <c r="B289" s="19" t="s">
        <v>477</v>
      </c>
      <c r="C289" s="49" t="n">
        <v>1447.8377</v>
      </c>
      <c r="D289" s="2"/>
      <c r="E289" s="2"/>
    </row>
    <row r="290" customFormat="false" ht="15" hidden="false" customHeight="true" outlineLevel="0" collapsed="false">
      <c r="B290" s="19" t="s">
        <v>478</v>
      </c>
      <c r="C290" s="30" t="n">
        <f aca="false">C287*C288*C289</f>
        <v>2491728681.7</v>
      </c>
      <c r="D290" s="2"/>
      <c r="E290" s="21" t="s">
        <v>479</v>
      </c>
    </row>
    <row r="291" customFormat="false" ht="24.75" hidden="false" customHeight="true" outlineLevel="0" collapsed="false">
      <c r="B291" s="19" t="s">
        <v>480</v>
      </c>
      <c r="C291" s="45" t="n">
        <v>394740</v>
      </c>
      <c r="D291" s="2"/>
      <c r="E291" s="21" t="s">
        <v>481</v>
      </c>
    </row>
    <row r="292" customFormat="false" ht="15" hidden="false" customHeight="true" outlineLevel="0" collapsed="false">
      <c r="B292" s="19" t="s">
        <v>482</v>
      </c>
      <c r="C292" s="42" t="n">
        <v>0.15</v>
      </c>
      <c r="D292" s="2"/>
      <c r="E292" s="21" t="s">
        <v>483</v>
      </c>
    </row>
    <row r="293" customFormat="false" ht="24.75" hidden="false" customHeight="true" outlineLevel="0" collapsed="false">
      <c r="B293" s="19" t="s">
        <v>484</v>
      </c>
      <c r="C293" s="30" t="n">
        <f aca="false">2*C291*(1+C292)*C289</f>
        <v>1314494743.5054</v>
      </c>
      <c r="D293" s="2"/>
      <c r="E293" s="21" t="s">
        <v>485</v>
      </c>
    </row>
    <row r="294" customFormat="false" ht="24.75" hidden="false" customHeight="true" outlineLevel="0" collapsed="false">
      <c r="B294" s="19" t="s">
        <v>486</v>
      </c>
      <c r="C294" s="45" t="n">
        <v>781756</v>
      </c>
      <c r="D294" s="2"/>
      <c r="E294" s="21" t="s">
        <v>487</v>
      </c>
    </row>
    <row r="295" customFormat="false" ht="15" hidden="false" customHeight="true" outlineLevel="0" collapsed="false">
      <c r="B295" s="19" t="s">
        <v>488</v>
      </c>
      <c r="C295" s="30" t="n">
        <f aca="false">C294*C289</f>
        <v>1131855809.0012</v>
      </c>
      <c r="D295" s="2"/>
      <c r="E295" s="21" t="s">
        <v>489</v>
      </c>
    </row>
    <row r="296" customFormat="false" ht="15" hidden="false" customHeight="true" outlineLevel="0" collapsed="false">
      <c r="B296" s="19" t="s">
        <v>490</v>
      </c>
      <c r="C296" s="30" t="n">
        <f aca="false">C290-C295</f>
        <v>1359872872.6988</v>
      </c>
      <c r="D296" s="2"/>
      <c r="E296" s="21" t="s">
        <v>491</v>
      </c>
    </row>
    <row r="297" customFormat="false" ht="24.75" hidden="false" customHeight="true" outlineLevel="0" collapsed="false">
      <c r="B297" s="19" t="s">
        <v>492</v>
      </c>
      <c r="C297" s="45" t="n">
        <v>455200</v>
      </c>
      <c r="D297" s="2"/>
      <c r="E297" s="21" t="s">
        <v>493</v>
      </c>
    </row>
    <row r="298" customFormat="false" ht="15" hidden="false" customHeight="true" outlineLevel="0" collapsed="false">
      <c r="B298" s="19" t="s">
        <v>494</v>
      </c>
      <c r="C298" s="30" t="n">
        <f aca="false">C297*C289</f>
        <v>659055721.04</v>
      </c>
      <c r="D298" s="2"/>
      <c r="E298" s="21" t="s">
        <v>495</v>
      </c>
    </row>
    <row r="299" customFormat="false" ht="24.75" hidden="false" customHeight="true" outlineLevel="0" collapsed="false">
      <c r="B299" s="19" t="s">
        <v>496</v>
      </c>
      <c r="C299" s="20" t="n">
        <v>370800000</v>
      </c>
      <c r="D299" s="2"/>
      <c r="E299" s="21" t="s">
        <v>497</v>
      </c>
    </row>
    <row r="300" customFormat="false" ht="24.75" hidden="false" customHeight="true" outlineLevel="0" collapsed="false">
      <c r="B300" s="19" t="s">
        <v>498</v>
      </c>
      <c r="C300" s="45" t="n">
        <v>3400</v>
      </c>
      <c r="D300" s="2"/>
      <c r="E300" s="21" t="s">
        <v>499</v>
      </c>
    </row>
    <row r="301" customFormat="false" ht="27" hidden="false" customHeight="true" outlineLevel="0" collapsed="false">
      <c r="B301" s="14" t="s">
        <v>500</v>
      </c>
      <c r="C301" s="45" t="n">
        <v>7500</v>
      </c>
      <c r="D301" s="2"/>
      <c r="E301" s="21" t="s">
        <v>501</v>
      </c>
    </row>
  </sheetData>
  <mergeCells count="16">
    <mergeCell ref="B3:E3"/>
    <mergeCell ref="B5:E5"/>
    <mergeCell ref="B14:E14"/>
    <mergeCell ref="B73:E73"/>
    <mergeCell ref="B106:E106"/>
    <mergeCell ref="B120:E120"/>
    <mergeCell ref="B159:E159"/>
    <mergeCell ref="B188:E188"/>
    <mergeCell ref="B216:E216"/>
    <mergeCell ref="B224:E224"/>
    <mergeCell ref="B236:E236"/>
    <mergeCell ref="B249:E249"/>
    <mergeCell ref="B268:E268"/>
    <mergeCell ref="B274:E274"/>
    <mergeCell ref="B280:E280"/>
    <mergeCell ref="B285:E28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P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2"/>
    <col collapsed="false" customWidth="true" hidden="false" outlineLevel="0" max="14" min="3" style="1" width="9"/>
    <col collapsed="false" customWidth="true" hidden="false" outlineLevel="0" max="15" min="15" style="1" width="10"/>
    <col collapsed="false" customWidth="true" hidden="false" outlineLevel="0" max="16" min="16" style="1" width="78"/>
  </cols>
  <sheetData>
    <row r="2" customFormat="false" ht="15.75" hidden="false" customHeight="true" outlineLevel="0" collapsed="false">
      <c r="B2" s="16" t="s">
        <v>502</v>
      </c>
    </row>
    <row r="3" customFormat="false" ht="15" hidden="false" customHeight="true" outlineLevel="0" collapsed="false">
      <c r="B3" s="4" t="s">
        <v>503</v>
      </c>
    </row>
    <row r="5" customFormat="false" ht="15" hidden="false" customHeight="true" outlineLevel="0" collapsed="false">
      <c r="B5" s="50" t="s">
        <v>504</v>
      </c>
      <c r="C5" s="50" t="s">
        <v>505</v>
      </c>
      <c r="D5" s="50" t="s">
        <v>506</v>
      </c>
      <c r="E5" s="50" t="s">
        <v>507</v>
      </c>
      <c r="F5" s="50" t="s">
        <v>508</v>
      </c>
      <c r="G5" s="50" t="s">
        <v>509</v>
      </c>
      <c r="H5" s="50" t="s">
        <v>510</v>
      </c>
      <c r="I5" s="50" t="s">
        <v>511</v>
      </c>
      <c r="J5" s="50" t="s">
        <v>512</v>
      </c>
      <c r="K5" s="50" t="s">
        <v>513</v>
      </c>
      <c r="L5" s="50" t="s">
        <v>514</v>
      </c>
      <c r="M5" s="50" t="s">
        <v>515</v>
      </c>
      <c r="N5" s="50" t="s">
        <v>516</v>
      </c>
      <c r="O5" s="50" t="s">
        <v>517</v>
      </c>
      <c r="P5" s="50" t="s">
        <v>518</v>
      </c>
    </row>
    <row r="6" customFormat="false" ht="27" hidden="false" customHeight="true" outlineLevel="0" collapsed="false">
      <c r="B6" s="14" t="s">
        <v>519</v>
      </c>
      <c r="C6" s="31" t="n">
        <v>0.098</v>
      </c>
      <c r="D6" s="31" t="n">
        <v>0.08</v>
      </c>
      <c r="E6" s="31" t="n">
        <v>0.084</v>
      </c>
      <c r="F6" s="31" t="n">
        <v>0.082</v>
      </c>
      <c r="G6" s="31" t="n">
        <v>0.08</v>
      </c>
      <c r="H6" s="31" t="n">
        <v>0.082</v>
      </c>
      <c r="I6" s="31" t="n">
        <v>0.084</v>
      </c>
      <c r="J6" s="31" t="n">
        <v>0.082</v>
      </c>
      <c r="K6" s="31" t="n">
        <v>0.08</v>
      </c>
      <c r="L6" s="31" t="n">
        <v>0.082</v>
      </c>
      <c r="M6" s="31" t="n">
        <v>0.08</v>
      </c>
      <c r="N6" s="31" t="n">
        <v>0.086</v>
      </c>
      <c r="O6" s="51" t="n">
        <f aca="false">SUM(C6:N6)</f>
        <v>1</v>
      </c>
      <c r="P6" s="22" t="s">
        <v>520</v>
      </c>
    </row>
    <row r="7" customFormat="false" ht="15" hidden="false" customHeight="true" outlineLevel="0" collapsed="false">
      <c r="B7" s="19" t="s">
        <v>521</v>
      </c>
      <c r="C7" s="31" t="n">
        <v>0.083</v>
      </c>
      <c r="D7" s="31" t="n">
        <v>0.081</v>
      </c>
      <c r="E7" s="31" t="n">
        <v>0.085</v>
      </c>
      <c r="F7" s="31" t="n">
        <v>0.084</v>
      </c>
      <c r="G7" s="31" t="n">
        <v>0.083</v>
      </c>
      <c r="H7" s="31" t="n">
        <v>0.084</v>
      </c>
      <c r="I7" s="31" t="n">
        <v>0.085</v>
      </c>
      <c r="J7" s="31" t="n">
        <v>0.084</v>
      </c>
      <c r="K7" s="31" t="n">
        <v>0.083</v>
      </c>
      <c r="L7" s="31" t="n">
        <v>0.084</v>
      </c>
      <c r="M7" s="31" t="n">
        <v>0.083</v>
      </c>
      <c r="N7" s="31" t="n">
        <v>0.081</v>
      </c>
      <c r="O7" s="51" t="n">
        <f aca="false">SUM(C7:N7)</f>
        <v>1</v>
      </c>
      <c r="P7" s="22" t="s">
        <v>522</v>
      </c>
    </row>
    <row r="8" customFormat="false" ht="15" hidden="false" customHeight="true" outlineLevel="0" collapsed="false">
      <c r="B8" s="19" t="s">
        <v>523</v>
      </c>
      <c r="C8" s="31" t="n">
        <v>0.0833333333333333</v>
      </c>
      <c r="D8" s="31" t="n">
        <v>0.0833333333333333</v>
      </c>
      <c r="E8" s="31" t="n">
        <v>0.0833333333333333</v>
      </c>
      <c r="F8" s="31" t="n">
        <v>0.0833333333333333</v>
      </c>
      <c r="G8" s="31" t="n">
        <v>0.0833333333333333</v>
      </c>
      <c r="H8" s="31" t="n">
        <v>0.0833333333333333</v>
      </c>
      <c r="I8" s="31" t="n">
        <v>0.0833333333333333</v>
      </c>
      <c r="J8" s="31" t="n">
        <v>0.0833333333333333</v>
      </c>
      <c r="K8" s="31" t="n">
        <v>0.0833333333333333</v>
      </c>
      <c r="L8" s="31" t="n">
        <v>0.0833333333333333</v>
      </c>
      <c r="M8" s="31" t="n">
        <v>0.0833333333333333</v>
      </c>
      <c r="N8" s="31" t="n">
        <v>0.0833333333333333</v>
      </c>
      <c r="O8" s="51" t="n">
        <f aca="false">SUM(C8:N8)</f>
        <v>1</v>
      </c>
      <c r="P8" s="22" t="s">
        <v>524</v>
      </c>
    </row>
    <row r="9" customFormat="false" ht="15" hidden="false" customHeight="true" outlineLevel="0" collapsed="false">
      <c r="B9" s="19" t="s">
        <v>525</v>
      </c>
      <c r="C9" s="31" t="n">
        <v>0.05</v>
      </c>
      <c r="D9" s="31" t="n">
        <v>0.05</v>
      </c>
      <c r="E9" s="31" t="n">
        <v>0.08</v>
      </c>
      <c r="F9" s="31" t="n">
        <v>0.08</v>
      </c>
      <c r="G9" s="31" t="n">
        <v>0.09</v>
      </c>
      <c r="H9" s="31" t="n">
        <v>0.1</v>
      </c>
      <c r="I9" s="31" t="n">
        <v>0.09</v>
      </c>
      <c r="J9" s="31" t="n">
        <v>0.09</v>
      </c>
      <c r="K9" s="31" t="n">
        <v>0.09</v>
      </c>
      <c r="L9" s="31" t="n">
        <v>0.1</v>
      </c>
      <c r="M9" s="31" t="n">
        <v>0.1</v>
      </c>
      <c r="N9" s="31" t="n">
        <v>0.08</v>
      </c>
      <c r="O9" s="51" t="n">
        <f aca="false">SUM(C9:N9)</f>
        <v>1</v>
      </c>
      <c r="P9" s="22" t="s">
        <v>526</v>
      </c>
    </row>
    <row r="10" customFormat="false" ht="15" hidden="false" customHeight="true" outlineLevel="0" collapsed="false">
      <c r="B10" s="19" t="s">
        <v>527</v>
      </c>
      <c r="C10" s="31" t="n">
        <v>0.0833333333333333</v>
      </c>
      <c r="D10" s="31" t="n">
        <v>0.0833333333333333</v>
      </c>
      <c r="E10" s="31" t="n">
        <v>0.0833333333333333</v>
      </c>
      <c r="F10" s="31" t="n">
        <v>0.0833333333333333</v>
      </c>
      <c r="G10" s="31" t="n">
        <v>0.0833333333333333</v>
      </c>
      <c r="H10" s="31" t="n">
        <v>0.0833333333333333</v>
      </c>
      <c r="I10" s="31" t="n">
        <v>0.0833333333333333</v>
      </c>
      <c r="J10" s="31" t="n">
        <v>0.0833333333333333</v>
      </c>
      <c r="K10" s="31" t="n">
        <v>0.0833333333333333</v>
      </c>
      <c r="L10" s="31" t="n">
        <v>0.0833333333333333</v>
      </c>
      <c r="M10" s="31" t="n">
        <v>0.0833333333333333</v>
      </c>
      <c r="N10" s="31" t="n">
        <v>0.0833333333333333</v>
      </c>
      <c r="O10" s="51" t="n">
        <f aca="false">SUM(C10:N10)</f>
        <v>1</v>
      </c>
      <c r="P10" s="22" t="s">
        <v>528</v>
      </c>
    </row>
    <row r="11" customFormat="false" ht="15" hidden="false" customHeight="true" outlineLevel="0" collapsed="false">
      <c r="B11" s="19" t="s">
        <v>529</v>
      </c>
      <c r="C11" s="31" t="n">
        <v>0</v>
      </c>
      <c r="D11" s="31" t="n">
        <v>0</v>
      </c>
      <c r="E11" s="31" t="n">
        <v>0</v>
      </c>
      <c r="F11" s="31" t="n">
        <v>0</v>
      </c>
      <c r="G11" s="31" t="n">
        <v>0</v>
      </c>
      <c r="H11" s="31" t="n">
        <v>0.5</v>
      </c>
      <c r="I11" s="31" t="n">
        <v>0</v>
      </c>
      <c r="J11" s="31" t="n">
        <v>0</v>
      </c>
      <c r="K11" s="31" t="n">
        <v>0</v>
      </c>
      <c r="L11" s="31" t="n">
        <v>0</v>
      </c>
      <c r="M11" s="31" t="n">
        <v>0</v>
      </c>
      <c r="N11" s="31" t="n">
        <v>0.5</v>
      </c>
      <c r="O11" s="51" t="n">
        <f aca="false">SUM(C11:N11)</f>
        <v>1</v>
      </c>
      <c r="P11" s="22" t="s">
        <v>530</v>
      </c>
    </row>
    <row r="12" customFormat="false" ht="15" hidden="false" customHeight="true" outlineLevel="0" collapsed="false">
      <c r="B12" s="19" t="s">
        <v>531</v>
      </c>
      <c r="C12" s="31" t="n">
        <v>0.07</v>
      </c>
      <c r="D12" s="31" t="n">
        <v>0.078</v>
      </c>
      <c r="E12" s="31" t="n">
        <v>0.086</v>
      </c>
      <c r="F12" s="31" t="n">
        <v>0.086</v>
      </c>
      <c r="G12" s="31" t="n">
        <v>0.086</v>
      </c>
      <c r="H12" s="31" t="n">
        <v>0.086</v>
      </c>
      <c r="I12" s="31" t="n">
        <v>0.086</v>
      </c>
      <c r="J12" s="31" t="n">
        <v>0.086</v>
      </c>
      <c r="K12" s="31" t="n">
        <v>0.086</v>
      </c>
      <c r="L12" s="31" t="n">
        <v>0.088</v>
      </c>
      <c r="M12" s="31" t="n">
        <v>0.088</v>
      </c>
      <c r="N12" s="31" t="n">
        <v>0.074</v>
      </c>
      <c r="O12" s="51" t="n">
        <f aca="false">SUM(C12:N12)</f>
        <v>1</v>
      </c>
      <c r="P12" s="22" t="s">
        <v>532</v>
      </c>
    </row>
    <row r="13" customFormat="false" ht="15" hidden="false" customHeight="true" outlineLevel="0" collapsed="false">
      <c r="B13" s="19" t="s">
        <v>533</v>
      </c>
      <c r="C13" s="31" t="n">
        <v>0.081</v>
      </c>
      <c r="D13" s="31" t="n">
        <v>0.082</v>
      </c>
      <c r="E13" s="31" t="n">
        <v>0.084</v>
      </c>
      <c r="F13" s="31" t="n">
        <v>0.084</v>
      </c>
      <c r="G13" s="31" t="n">
        <v>0.084</v>
      </c>
      <c r="H13" s="31" t="n">
        <v>0.084</v>
      </c>
      <c r="I13" s="31" t="n">
        <v>0.084</v>
      </c>
      <c r="J13" s="31" t="n">
        <v>0.084</v>
      </c>
      <c r="K13" s="31" t="n">
        <v>0.084</v>
      </c>
      <c r="L13" s="31" t="n">
        <v>0.084</v>
      </c>
      <c r="M13" s="31" t="n">
        <v>0.084</v>
      </c>
      <c r="N13" s="31" t="n">
        <v>0.081</v>
      </c>
      <c r="O13" s="51" t="n">
        <f aca="false">SUM(C13:N13)</f>
        <v>1</v>
      </c>
      <c r="P13" s="22" t="s">
        <v>534</v>
      </c>
    </row>
    <row r="14" customFormat="false" ht="15" hidden="false" customHeight="true" outlineLevel="0" collapsed="false">
      <c r="B14" s="19" t="s">
        <v>535</v>
      </c>
      <c r="C14" s="31" t="n">
        <v>0.03</v>
      </c>
      <c r="D14" s="31" t="n">
        <v>0.04</v>
      </c>
      <c r="E14" s="31" t="n">
        <v>0.08</v>
      </c>
      <c r="F14" s="31" t="n">
        <v>0.09</v>
      </c>
      <c r="G14" s="31" t="n">
        <v>0.1</v>
      </c>
      <c r="H14" s="31" t="n">
        <v>0.1</v>
      </c>
      <c r="I14" s="31" t="n">
        <v>0.1</v>
      </c>
      <c r="J14" s="31" t="n">
        <v>0.1</v>
      </c>
      <c r="K14" s="31" t="n">
        <v>0.1</v>
      </c>
      <c r="L14" s="31" t="n">
        <v>0.1</v>
      </c>
      <c r="M14" s="31" t="n">
        <v>0.09</v>
      </c>
      <c r="N14" s="31" t="n">
        <v>0.07</v>
      </c>
      <c r="O14" s="51" t="n">
        <f aca="false">SUM(C14:N14)</f>
        <v>1</v>
      </c>
      <c r="P14" s="22" t="s">
        <v>536</v>
      </c>
    </row>
    <row r="15" customFormat="false" ht="15" hidden="false" customHeight="true" outlineLevel="0" collapsed="false">
      <c r="B15" s="19" t="s">
        <v>537</v>
      </c>
      <c r="C15" s="31" t="n">
        <v>0.0833333333333333</v>
      </c>
      <c r="D15" s="31" t="n">
        <v>0.0833333333333333</v>
      </c>
      <c r="E15" s="31" t="n">
        <v>0.0833333333333333</v>
      </c>
      <c r="F15" s="31" t="n">
        <v>0.0833333333333333</v>
      </c>
      <c r="G15" s="31" t="n">
        <v>0.0833333333333333</v>
      </c>
      <c r="H15" s="31" t="n">
        <v>0.0833333333333333</v>
      </c>
      <c r="I15" s="31" t="n">
        <v>0.0833333333333333</v>
      </c>
      <c r="J15" s="31" t="n">
        <v>0.0833333333333333</v>
      </c>
      <c r="K15" s="31" t="n">
        <v>0.0833333333333333</v>
      </c>
      <c r="L15" s="31" t="n">
        <v>0.0833333333333333</v>
      </c>
      <c r="M15" s="31" t="n">
        <v>0.0833333333333333</v>
      </c>
      <c r="N15" s="31" t="n">
        <v>0.0833333333333333</v>
      </c>
      <c r="O15" s="51" t="n">
        <f aca="false">SUM(C15:N15)</f>
        <v>1</v>
      </c>
      <c r="P15" s="22" t="s">
        <v>538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CT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98" min="3" style="1" width="11"/>
  </cols>
  <sheetData>
    <row r="2" customFormat="false" ht="15.75" hidden="false" customHeight="true" outlineLevel="0" collapsed="false">
      <c r="B2" s="16" t="s">
        <v>539</v>
      </c>
    </row>
    <row r="3" customFormat="false" ht="15" hidden="false" customHeight="true" outlineLevel="0" collapsed="false">
      <c r="B3" s="4" t="s">
        <v>540</v>
      </c>
    </row>
    <row r="5" customFormat="false" ht="15" hidden="false" customHeight="true" outlineLevel="0" collapsed="false">
      <c r="B5" s="52" t="s">
        <v>541</v>
      </c>
      <c r="C5" s="52" t="s">
        <v>542</v>
      </c>
      <c r="D5" s="53"/>
      <c r="E5" s="53"/>
      <c r="F5" s="53"/>
      <c r="G5" s="53"/>
      <c r="H5" s="53"/>
      <c r="I5" s="53"/>
      <c r="J5" s="53"/>
      <c r="K5" s="53"/>
      <c r="L5" s="53"/>
      <c r="M5" s="53"/>
      <c r="N5" s="53"/>
      <c r="O5" s="52" t="s">
        <v>543</v>
      </c>
      <c r="P5" s="53"/>
      <c r="Q5" s="53"/>
      <c r="R5" s="53"/>
      <c r="S5" s="53"/>
      <c r="T5" s="53"/>
      <c r="U5" s="53"/>
      <c r="V5" s="53"/>
      <c r="W5" s="53"/>
      <c r="X5" s="53"/>
      <c r="Y5" s="53"/>
      <c r="Z5" s="53"/>
      <c r="AA5" s="52" t="s">
        <v>544</v>
      </c>
      <c r="AB5" s="53"/>
      <c r="AC5" s="53"/>
      <c r="AD5" s="53"/>
      <c r="AE5" s="53"/>
      <c r="AF5" s="53"/>
      <c r="AG5" s="53"/>
      <c r="AH5" s="53"/>
      <c r="AI5" s="53"/>
      <c r="AJ5" s="53"/>
      <c r="AK5" s="53"/>
      <c r="AL5" s="53"/>
      <c r="AM5" s="52" t="s">
        <v>545</v>
      </c>
      <c r="AN5" s="53"/>
      <c r="AO5" s="53"/>
      <c r="AP5" s="53"/>
      <c r="AQ5" s="53"/>
      <c r="AR5" s="53"/>
      <c r="AS5" s="53"/>
      <c r="AT5" s="53"/>
      <c r="AU5" s="53"/>
      <c r="AV5" s="53"/>
      <c r="AW5" s="53"/>
      <c r="AX5" s="53"/>
      <c r="AY5" s="52" t="s">
        <v>546</v>
      </c>
      <c r="AZ5" s="53"/>
      <c r="BA5" s="53"/>
      <c r="BB5" s="53"/>
      <c r="BC5" s="53"/>
      <c r="BD5" s="53"/>
      <c r="BE5" s="53"/>
      <c r="BF5" s="53"/>
      <c r="BG5" s="53"/>
      <c r="BH5" s="53"/>
      <c r="BI5" s="53"/>
      <c r="BJ5" s="53"/>
      <c r="BK5" s="52" t="s">
        <v>547</v>
      </c>
      <c r="BL5" s="53"/>
      <c r="BM5" s="53"/>
      <c r="BN5" s="53"/>
      <c r="BO5" s="53"/>
      <c r="BP5" s="53"/>
      <c r="BQ5" s="53"/>
      <c r="BR5" s="53"/>
      <c r="BS5" s="53"/>
      <c r="BT5" s="53"/>
      <c r="BU5" s="53"/>
      <c r="BV5" s="53"/>
      <c r="BW5" s="52" t="s">
        <v>548</v>
      </c>
      <c r="BX5" s="53"/>
      <c r="BY5" s="53"/>
      <c r="BZ5" s="53"/>
      <c r="CA5" s="53"/>
      <c r="CB5" s="53"/>
      <c r="CC5" s="53"/>
      <c r="CD5" s="53"/>
      <c r="CE5" s="53"/>
      <c r="CF5" s="53"/>
      <c r="CG5" s="53"/>
      <c r="CH5" s="53"/>
      <c r="CI5" s="52" t="s">
        <v>549</v>
      </c>
      <c r="CJ5" s="53"/>
      <c r="CK5" s="53"/>
      <c r="CL5" s="53"/>
      <c r="CM5" s="53"/>
      <c r="CN5" s="53"/>
      <c r="CO5" s="53"/>
      <c r="CP5" s="53"/>
      <c r="CQ5" s="53"/>
      <c r="CR5" s="53"/>
      <c r="CS5" s="53"/>
      <c r="CT5" s="53"/>
    </row>
    <row r="6" customFormat="false" ht="15" hidden="false" customHeight="true" outlineLevel="0" collapsed="false">
      <c r="B6" s="54" t="s">
        <v>550</v>
      </c>
      <c r="C6" s="55" t="s">
        <v>505</v>
      </c>
      <c r="D6" s="55" t="s">
        <v>506</v>
      </c>
      <c r="E6" s="55" t="s">
        <v>507</v>
      </c>
      <c r="F6" s="55" t="s">
        <v>508</v>
      </c>
      <c r="G6" s="55" t="s">
        <v>509</v>
      </c>
      <c r="H6" s="55" t="s">
        <v>510</v>
      </c>
      <c r="I6" s="55" t="s">
        <v>511</v>
      </c>
      <c r="J6" s="55" t="s">
        <v>512</v>
      </c>
      <c r="K6" s="55" t="s">
        <v>513</v>
      </c>
      <c r="L6" s="55" t="s">
        <v>514</v>
      </c>
      <c r="M6" s="55" t="s">
        <v>515</v>
      </c>
      <c r="N6" s="55" t="s">
        <v>516</v>
      </c>
      <c r="O6" s="55" t="s">
        <v>505</v>
      </c>
      <c r="P6" s="55" t="s">
        <v>506</v>
      </c>
      <c r="Q6" s="55" t="s">
        <v>507</v>
      </c>
      <c r="R6" s="55" t="s">
        <v>508</v>
      </c>
      <c r="S6" s="55" t="s">
        <v>509</v>
      </c>
      <c r="T6" s="55" t="s">
        <v>510</v>
      </c>
      <c r="U6" s="55" t="s">
        <v>511</v>
      </c>
      <c r="V6" s="55" t="s">
        <v>512</v>
      </c>
      <c r="W6" s="55" t="s">
        <v>513</v>
      </c>
      <c r="X6" s="55" t="s">
        <v>514</v>
      </c>
      <c r="Y6" s="55" t="s">
        <v>515</v>
      </c>
      <c r="Z6" s="55" t="s">
        <v>516</v>
      </c>
      <c r="AA6" s="55" t="s">
        <v>505</v>
      </c>
      <c r="AB6" s="55" t="s">
        <v>506</v>
      </c>
      <c r="AC6" s="55" t="s">
        <v>507</v>
      </c>
      <c r="AD6" s="55" t="s">
        <v>508</v>
      </c>
      <c r="AE6" s="55" t="s">
        <v>509</v>
      </c>
      <c r="AF6" s="55" t="s">
        <v>510</v>
      </c>
      <c r="AG6" s="55" t="s">
        <v>511</v>
      </c>
      <c r="AH6" s="55" t="s">
        <v>512</v>
      </c>
      <c r="AI6" s="55" t="s">
        <v>513</v>
      </c>
      <c r="AJ6" s="55" t="s">
        <v>514</v>
      </c>
      <c r="AK6" s="55" t="s">
        <v>515</v>
      </c>
      <c r="AL6" s="55" t="s">
        <v>516</v>
      </c>
      <c r="AM6" s="55" t="s">
        <v>505</v>
      </c>
      <c r="AN6" s="55" t="s">
        <v>506</v>
      </c>
      <c r="AO6" s="55" t="s">
        <v>507</v>
      </c>
      <c r="AP6" s="55" t="s">
        <v>508</v>
      </c>
      <c r="AQ6" s="55" t="s">
        <v>509</v>
      </c>
      <c r="AR6" s="55" t="s">
        <v>510</v>
      </c>
      <c r="AS6" s="55" t="s">
        <v>511</v>
      </c>
      <c r="AT6" s="55" t="s">
        <v>512</v>
      </c>
      <c r="AU6" s="55" t="s">
        <v>513</v>
      </c>
      <c r="AV6" s="55" t="s">
        <v>514</v>
      </c>
      <c r="AW6" s="55" t="s">
        <v>515</v>
      </c>
      <c r="AX6" s="55" t="s">
        <v>516</v>
      </c>
      <c r="AY6" s="55" t="s">
        <v>505</v>
      </c>
      <c r="AZ6" s="55" t="s">
        <v>506</v>
      </c>
      <c r="BA6" s="55" t="s">
        <v>507</v>
      </c>
      <c r="BB6" s="55" t="s">
        <v>508</v>
      </c>
      <c r="BC6" s="55" t="s">
        <v>509</v>
      </c>
      <c r="BD6" s="55" t="s">
        <v>510</v>
      </c>
      <c r="BE6" s="55" t="s">
        <v>511</v>
      </c>
      <c r="BF6" s="55" t="s">
        <v>512</v>
      </c>
      <c r="BG6" s="55" t="s">
        <v>513</v>
      </c>
      <c r="BH6" s="55" t="s">
        <v>514</v>
      </c>
      <c r="BI6" s="55" t="s">
        <v>515</v>
      </c>
      <c r="BJ6" s="55" t="s">
        <v>516</v>
      </c>
      <c r="BK6" s="55" t="s">
        <v>505</v>
      </c>
      <c r="BL6" s="55" t="s">
        <v>506</v>
      </c>
      <c r="BM6" s="55" t="s">
        <v>507</v>
      </c>
      <c r="BN6" s="55" t="s">
        <v>508</v>
      </c>
      <c r="BO6" s="55" t="s">
        <v>509</v>
      </c>
      <c r="BP6" s="55" t="s">
        <v>510</v>
      </c>
      <c r="BQ6" s="55" t="s">
        <v>511</v>
      </c>
      <c r="BR6" s="55" t="s">
        <v>512</v>
      </c>
      <c r="BS6" s="55" t="s">
        <v>513</v>
      </c>
      <c r="BT6" s="55" t="s">
        <v>514</v>
      </c>
      <c r="BU6" s="55" t="s">
        <v>515</v>
      </c>
      <c r="BV6" s="55" t="s">
        <v>516</v>
      </c>
      <c r="BW6" s="55" t="s">
        <v>505</v>
      </c>
      <c r="BX6" s="55" t="s">
        <v>506</v>
      </c>
      <c r="BY6" s="55" t="s">
        <v>507</v>
      </c>
      <c r="BZ6" s="55" t="s">
        <v>508</v>
      </c>
      <c r="CA6" s="55" t="s">
        <v>509</v>
      </c>
      <c r="CB6" s="55" t="s">
        <v>510</v>
      </c>
      <c r="CC6" s="55" t="s">
        <v>511</v>
      </c>
      <c r="CD6" s="55" t="s">
        <v>512</v>
      </c>
      <c r="CE6" s="55" t="s">
        <v>513</v>
      </c>
      <c r="CF6" s="55" t="s">
        <v>514</v>
      </c>
      <c r="CG6" s="55" t="s">
        <v>515</v>
      </c>
      <c r="CH6" s="55" t="s">
        <v>516</v>
      </c>
      <c r="CI6" s="55" t="s">
        <v>505</v>
      </c>
      <c r="CJ6" s="55" t="s">
        <v>506</v>
      </c>
      <c r="CK6" s="55" t="s">
        <v>507</v>
      </c>
      <c r="CL6" s="55" t="s">
        <v>508</v>
      </c>
      <c r="CM6" s="55" t="s">
        <v>509</v>
      </c>
      <c r="CN6" s="55" t="s">
        <v>510</v>
      </c>
      <c r="CO6" s="55" t="s">
        <v>511</v>
      </c>
      <c r="CP6" s="55" t="s">
        <v>512</v>
      </c>
      <c r="CQ6" s="55" t="s">
        <v>513</v>
      </c>
      <c r="CR6" s="55" t="s">
        <v>514</v>
      </c>
      <c r="CS6" s="55" t="s">
        <v>515</v>
      </c>
      <c r="CT6" s="55" t="s">
        <v>516</v>
      </c>
    </row>
    <row r="7" customFormat="false" ht="15" hidden="false" customHeight="true" outlineLevel="0" collapsed="false">
      <c r="A7" s="2"/>
      <c r="B7" s="56" t="s">
        <v>551</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row>
    <row r="8" customFormat="false" ht="15" hidden="false" customHeight="true" outlineLevel="0" collapsed="false">
      <c r="A8" s="2"/>
      <c r="B8" s="19" t="s">
        <v>552</v>
      </c>
      <c r="C8" s="57" t="n">
        <f aca="false">Supuestos!$C$114*(1+Supuestos!$C$31)^3*Estacionalidad!C$6*C$18</f>
        <v>21385841008.064</v>
      </c>
      <c r="D8" s="57" t="n">
        <f aca="false">Supuestos!$C$114*(1+Supuestos!$C$31)^3*Estacionalidad!D$6*D$18</f>
        <v>17457829394.338</v>
      </c>
      <c r="E8" s="57" t="n">
        <f aca="false">Supuestos!$C$114*(1+Supuestos!$C$31)^3*Estacionalidad!E$6*E$18</f>
        <v>18330720864.0549</v>
      </c>
      <c r="F8" s="57" t="n">
        <f aca="false">Supuestos!$C$114*(1+Supuestos!$C$31)^3*Estacionalidad!F$6*F$18</f>
        <v>17894275129.1964</v>
      </c>
      <c r="G8" s="57" t="n">
        <f aca="false">Supuestos!$C$114*(1+Supuestos!$C$31)^3*Estacionalidad!G$6*G$18</f>
        <v>17457829394.338</v>
      </c>
      <c r="H8" s="57" t="n">
        <f aca="false">Supuestos!$C$114*(1+Supuestos!$C$31)^3*Estacionalidad!H$6*H$18</f>
        <v>17894275129.1964</v>
      </c>
      <c r="I8" s="57" t="n">
        <f aca="false">Supuestos!$C$114*(1+Supuestos!$C$31)^3*Estacionalidad!I$6*I$18</f>
        <v>18330720864.0549</v>
      </c>
      <c r="J8" s="57" t="n">
        <f aca="false">Supuestos!$C$114*(1+Supuestos!$C$31)^3*Estacionalidad!J$6*J$18</f>
        <v>17894275129.1964</v>
      </c>
      <c r="K8" s="57" t="n">
        <f aca="false">Supuestos!$C$114*(1+Supuestos!$C$31)^3*Estacionalidad!K$6*K$18</f>
        <v>17457829394.338</v>
      </c>
      <c r="L8" s="57" t="n">
        <f aca="false">Supuestos!$C$114*(1+Supuestos!$C$31)^3*Estacionalidad!L$6*L$18</f>
        <v>17894275129.1964</v>
      </c>
      <c r="M8" s="57" t="n">
        <f aca="false">Supuestos!$C$114*(1+Supuestos!$C$31)^3*Estacionalidad!M$6*M$18</f>
        <v>17457829394.338</v>
      </c>
      <c r="N8" s="57" t="n">
        <f aca="false">Supuestos!$C$114*(1+Supuestos!$C$31)^3*Estacionalidad!N$6*N$18</f>
        <v>18767166598.9133</v>
      </c>
      <c r="O8" s="57" t="n">
        <f aca="false">Supuestos!$C$114*(1+Supuestos!$C$31)^4*Estacionalidad!C$6*O$18</f>
        <v>21802864907.7213</v>
      </c>
      <c r="P8" s="57" t="n">
        <f aca="false">Supuestos!$C$114*(1+Supuestos!$C$31)^4*Estacionalidad!D$6*P$18</f>
        <v>17798257067.5276</v>
      </c>
      <c r="Q8" s="57" t="n">
        <f aca="false">Supuestos!$C$114*(1+Supuestos!$C$31)^4*Estacionalidad!E$6*Q$18</f>
        <v>18688169920.904</v>
      </c>
      <c r="R8" s="57" t="n">
        <f aca="false">Supuestos!$C$114*(1+Supuestos!$C$31)^4*Estacionalidad!F$6*R$18</f>
        <v>18243213494.2158</v>
      </c>
      <c r="S8" s="57" t="n">
        <f aca="false">Supuestos!$C$114*(1+Supuestos!$C$31)^4*Estacionalidad!G$6*S$18</f>
        <v>17798257067.5276</v>
      </c>
      <c r="T8" s="57" t="n">
        <f aca="false">Supuestos!$C$114*(1+Supuestos!$C$31)^4*Estacionalidad!H$6*T$18</f>
        <v>18243213494.2158</v>
      </c>
      <c r="U8" s="57" t="n">
        <f aca="false">Supuestos!$C$114*(1+Supuestos!$C$31)^4*Estacionalidad!I$6*U$18</f>
        <v>18688169920.904</v>
      </c>
      <c r="V8" s="57" t="n">
        <f aca="false">Supuestos!$C$114*(1+Supuestos!$C$31)^4*Estacionalidad!J$6*V$18</f>
        <v>18243213494.2158</v>
      </c>
      <c r="W8" s="57" t="n">
        <f aca="false">Supuestos!$C$114*(1+Supuestos!$C$31)^4*Estacionalidad!K$6*W$18</f>
        <v>17798257067.5276</v>
      </c>
      <c r="X8" s="57" t="n">
        <f aca="false">Supuestos!$C$114*(1+Supuestos!$C$31)^4*Estacionalidad!L$6*X$18</f>
        <v>18243213494.2158</v>
      </c>
      <c r="Y8" s="57" t="n">
        <f aca="false">Supuestos!$C$114*(1+Supuestos!$C$31)^4*Estacionalidad!M$6*Y$18</f>
        <v>17798257067.5276</v>
      </c>
      <c r="Z8" s="57" t="n">
        <f aca="false">Supuestos!$C$114*(1+Supuestos!$C$31)^4*Estacionalidad!N$6*Z$18</f>
        <v>19133126347.5921</v>
      </c>
      <c r="AA8" s="57" t="n">
        <f aca="false">Supuestos!$C$114*(1+Supuestos!$C$31)^5*Estacionalidad!C$6*AA$18</f>
        <v>22228020773.4218</v>
      </c>
      <c r="AB8" s="57" t="n">
        <f aca="false">Supuestos!$C$114*(1+Supuestos!$C$31)^5*Estacionalidad!D$6*AB$18</f>
        <v>18145323080.3444</v>
      </c>
      <c r="AC8" s="57" t="n">
        <f aca="false">Supuestos!$C$114*(1+Supuestos!$C$31)^5*Estacionalidad!E$6*AC$18</f>
        <v>19052589234.3616</v>
      </c>
      <c r="AD8" s="57" t="n">
        <f aca="false">Supuestos!$C$114*(1+Supuestos!$C$31)^5*Estacionalidad!F$6*AD$18</f>
        <v>18598956157.353</v>
      </c>
      <c r="AE8" s="57" t="n">
        <f aca="false">Supuestos!$C$114*(1+Supuestos!$C$31)^5*Estacionalidad!G$6*AE$18</f>
        <v>18145323080.3444</v>
      </c>
      <c r="AF8" s="57" t="n">
        <f aca="false">Supuestos!$C$114*(1+Supuestos!$C$31)^5*Estacionalidad!H$6*AF$18</f>
        <v>18598956157.353</v>
      </c>
      <c r="AG8" s="57" t="n">
        <f aca="false">Supuestos!$C$114*(1+Supuestos!$C$31)^5*Estacionalidad!I$6*AG$18</f>
        <v>19052589234.3616</v>
      </c>
      <c r="AH8" s="57" t="n">
        <f aca="false">Supuestos!$C$114*(1+Supuestos!$C$31)^5*Estacionalidad!J$6*AH$18</f>
        <v>18598956157.353</v>
      </c>
      <c r="AI8" s="57" t="n">
        <f aca="false">Supuestos!$C$114*(1+Supuestos!$C$31)^5*Estacionalidad!K$6*AI$18</f>
        <v>18145323080.3444</v>
      </c>
      <c r="AJ8" s="57" t="n">
        <f aca="false">Supuestos!$C$114*(1+Supuestos!$C$31)^5*Estacionalidad!L$6*AJ$18</f>
        <v>18598956157.353</v>
      </c>
      <c r="AK8" s="57" t="n">
        <f aca="false">Supuestos!$C$114*(1+Supuestos!$C$31)^5*Estacionalidad!M$6*AK$18</f>
        <v>18145323080.3444</v>
      </c>
      <c r="AL8" s="57" t="n">
        <f aca="false">Supuestos!$C$114*(1+Supuestos!$C$31)^5*Estacionalidad!N$6*AL$18</f>
        <v>19506222311.3702</v>
      </c>
      <c r="AM8" s="57" t="n">
        <f aca="false">Supuestos!$C$114*(1+Supuestos!$C$31)^6*Estacionalidad!C$6*AM$18</f>
        <v>22661467178.5036</v>
      </c>
      <c r="AN8" s="57" t="n">
        <f aca="false">Supuestos!$C$114*(1+Supuestos!$C$31)^6*Estacionalidad!D$6*AN$18</f>
        <v>18499156880.4111</v>
      </c>
      <c r="AO8" s="57" t="n">
        <f aca="false">Supuestos!$C$114*(1+Supuestos!$C$31)^6*Estacionalidad!E$6*AO$18</f>
        <v>19424114724.4316</v>
      </c>
      <c r="AP8" s="57" t="n">
        <f aca="false">Supuestos!$C$114*(1+Supuestos!$C$31)^6*Estacionalidad!F$6*AP$18</f>
        <v>18961635802.4214</v>
      </c>
      <c r="AQ8" s="57" t="n">
        <f aca="false">Supuestos!$C$114*(1+Supuestos!$C$31)^6*Estacionalidad!G$6*AQ$18</f>
        <v>18499156880.4111</v>
      </c>
      <c r="AR8" s="57" t="n">
        <f aca="false">Supuestos!$C$114*(1+Supuestos!$C$31)^6*Estacionalidad!H$6*AR$18</f>
        <v>18961635802.4214</v>
      </c>
      <c r="AS8" s="57" t="n">
        <f aca="false">Supuestos!$C$114*(1+Supuestos!$C$31)^6*Estacionalidad!I$6*AS$18</f>
        <v>19424114724.4316</v>
      </c>
      <c r="AT8" s="57" t="n">
        <f aca="false">Supuestos!$C$114*(1+Supuestos!$C$31)^6*Estacionalidad!J$6*AT$18</f>
        <v>18961635802.4214</v>
      </c>
      <c r="AU8" s="57" t="n">
        <f aca="false">Supuestos!$C$114*(1+Supuestos!$C$31)^6*Estacionalidad!K$6*AU$18</f>
        <v>18499156880.4111</v>
      </c>
      <c r="AV8" s="57" t="n">
        <f aca="false">Supuestos!$C$114*(1+Supuestos!$C$31)^6*Estacionalidad!L$6*AV$18</f>
        <v>18961635802.4214</v>
      </c>
      <c r="AW8" s="57" t="n">
        <f aca="false">Supuestos!$C$114*(1+Supuestos!$C$31)^6*Estacionalidad!M$6*AW$18</f>
        <v>18499156880.4111</v>
      </c>
      <c r="AX8" s="57" t="n">
        <f aca="false">Supuestos!$C$114*(1+Supuestos!$C$31)^6*Estacionalidad!N$6*AX$18</f>
        <v>19886593646.4419</v>
      </c>
      <c r="AY8" s="57" t="n">
        <f aca="false">Supuestos!$C$114*(1+Supuestos!$C$31)^7*Estacionalidad!C$6*AY$18</f>
        <v>23103365788.4844</v>
      </c>
      <c r="AZ8" s="57" t="n">
        <f aca="false">Supuestos!$C$114*(1+Supuestos!$C$31)^7*Estacionalidad!D$6*AZ$18</f>
        <v>18859890439.5791</v>
      </c>
      <c r="BA8" s="57" t="n">
        <f aca="false">Supuestos!$C$114*(1+Supuestos!$C$31)^7*Estacionalidad!E$6*BA$18</f>
        <v>19802884961.5581</v>
      </c>
      <c r="BB8" s="57" t="n">
        <f aca="false">Supuestos!$C$114*(1+Supuestos!$C$31)^7*Estacionalidad!F$6*BB$18</f>
        <v>19331387700.5686</v>
      </c>
      <c r="BC8" s="57" t="n">
        <f aca="false">Supuestos!$C$114*(1+Supuestos!$C$31)^7*Estacionalidad!G$6*BC$18</f>
        <v>18859890439.5791</v>
      </c>
      <c r="BD8" s="57" t="n">
        <f aca="false">Supuestos!$C$114*(1+Supuestos!$C$31)^7*Estacionalidad!H$6*BD$18</f>
        <v>19331387700.5686</v>
      </c>
      <c r="BE8" s="57" t="n">
        <f aca="false">Supuestos!$C$114*(1+Supuestos!$C$31)^7*Estacionalidad!I$6*BE$18</f>
        <v>19802884961.5581</v>
      </c>
      <c r="BF8" s="57" t="n">
        <f aca="false">Supuestos!$C$114*(1+Supuestos!$C$31)^7*Estacionalidad!J$6*BF$18</f>
        <v>19331387700.5686</v>
      </c>
      <c r="BG8" s="57" t="n">
        <f aca="false">Supuestos!$C$114*(1+Supuestos!$C$31)^7*Estacionalidad!K$6*BG$18</f>
        <v>18859890439.5791</v>
      </c>
      <c r="BH8" s="57" t="n">
        <f aca="false">Supuestos!$C$114*(1+Supuestos!$C$31)^7*Estacionalidad!L$6*BH$18</f>
        <v>19331387700.5686</v>
      </c>
      <c r="BI8" s="57" t="n">
        <f aca="false">Supuestos!$C$114*(1+Supuestos!$C$31)^7*Estacionalidad!M$6*BI$18</f>
        <v>18859890439.5791</v>
      </c>
      <c r="BJ8" s="57" t="n">
        <f aca="false">Supuestos!$C$114*(1+Supuestos!$C$31)^7*Estacionalidad!N$6*BJ$18</f>
        <v>20274382222.5475</v>
      </c>
      <c r="BK8" s="57" t="n">
        <f aca="false">Supuestos!$C$114*(1+Supuestos!$C$31)^8*Estacionalidad!C$6*BK$18</f>
        <v>23553881421.3598</v>
      </c>
      <c r="BL8" s="57" t="n">
        <f aca="false">Supuestos!$C$114*(1+Supuestos!$C$31)^8*Estacionalidad!D$6*BL$18</f>
        <v>19227658303.1509</v>
      </c>
      <c r="BM8" s="57" t="n">
        <f aca="false">Supuestos!$C$114*(1+Supuestos!$C$31)^8*Estacionalidad!E$6*BM$18</f>
        <v>20189041218.3084</v>
      </c>
      <c r="BN8" s="57" t="n">
        <f aca="false">Supuestos!$C$114*(1+Supuestos!$C$31)^8*Estacionalidad!F$6*BN$18</f>
        <v>19708349760.7297</v>
      </c>
      <c r="BO8" s="57" t="n">
        <f aca="false">Supuestos!$C$114*(1+Supuestos!$C$31)^8*Estacionalidad!G$6*BO$18</f>
        <v>19227658303.1509</v>
      </c>
      <c r="BP8" s="57" t="n">
        <f aca="false">Supuestos!$C$114*(1+Supuestos!$C$31)^8*Estacionalidad!H$6*BP$18</f>
        <v>19708349760.7297</v>
      </c>
      <c r="BQ8" s="57" t="n">
        <f aca="false">Supuestos!$C$114*(1+Supuestos!$C$31)^8*Estacionalidad!I$6*BQ$18</f>
        <v>20189041218.3084</v>
      </c>
      <c r="BR8" s="57" t="n">
        <f aca="false">Supuestos!$C$114*(1+Supuestos!$C$31)^8*Estacionalidad!J$6*BR$18</f>
        <v>19708349760.7297</v>
      </c>
      <c r="BS8" s="57" t="n">
        <f aca="false">Supuestos!$C$114*(1+Supuestos!$C$31)^8*Estacionalidad!K$6*BS$18</f>
        <v>19227658303.1509</v>
      </c>
      <c r="BT8" s="57" t="n">
        <f aca="false">Supuestos!$C$114*(1+Supuestos!$C$31)^8*Estacionalidad!L$6*BT$18</f>
        <v>19708349760.7297</v>
      </c>
      <c r="BU8" s="57" t="n">
        <f aca="false">Supuestos!$C$114*(1+Supuestos!$C$31)^8*Estacionalidad!M$6*BU$18</f>
        <v>19227658303.1509</v>
      </c>
      <c r="BV8" s="57" t="n">
        <f aca="false">Supuestos!$C$114*(1+Supuestos!$C$31)^8*Estacionalidad!N$6*BV$18</f>
        <v>20669732675.8872</v>
      </c>
      <c r="BW8" s="57" t="n">
        <f aca="false">Supuestos!$C$114*(1+Supuestos!$C$31)^9*Estacionalidad!C$6*BW$18</f>
        <v>24013182109.0764</v>
      </c>
      <c r="BX8" s="57" t="n">
        <f aca="false">Supuestos!$C$114*(1+Supuestos!$C$31)^9*Estacionalidad!D$6*BX$18</f>
        <v>19602597640.0623</v>
      </c>
      <c r="BY8" s="57" t="n">
        <f aca="false">Supuestos!$C$114*(1+Supuestos!$C$31)^9*Estacionalidad!E$6*BY$18</f>
        <v>20582727522.0655</v>
      </c>
      <c r="BZ8" s="57" t="n">
        <f aca="false">Supuestos!$C$114*(1+Supuestos!$C$31)^9*Estacionalidad!F$6*BZ$18</f>
        <v>20092662581.0639</v>
      </c>
      <c r="CA8" s="57" t="n">
        <f aca="false">Supuestos!$C$114*(1+Supuestos!$C$31)^9*Estacionalidad!G$6*CA$18</f>
        <v>19602597640.0623</v>
      </c>
      <c r="CB8" s="57" t="n">
        <f aca="false">Supuestos!$C$114*(1+Supuestos!$C$31)^9*Estacionalidad!H$6*CB$18</f>
        <v>20092662581.0639</v>
      </c>
      <c r="CC8" s="57" t="n">
        <f aca="false">Supuestos!$C$114*(1+Supuestos!$C$31)^9*Estacionalidad!I$6*CC$18</f>
        <v>20582727522.0655</v>
      </c>
      <c r="CD8" s="57" t="n">
        <f aca="false">Supuestos!$C$114*(1+Supuestos!$C$31)^9*Estacionalidad!J$6*CD$18</f>
        <v>20092662581.0639</v>
      </c>
      <c r="CE8" s="57" t="n">
        <f aca="false">Supuestos!$C$114*(1+Supuestos!$C$31)^9*Estacionalidad!K$6*CE$18</f>
        <v>19602597640.0623</v>
      </c>
      <c r="CF8" s="57" t="n">
        <f aca="false">Supuestos!$C$114*(1+Supuestos!$C$31)^9*Estacionalidad!L$6*CF$18</f>
        <v>20092662581.0639</v>
      </c>
      <c r="CG8" s="57" t="n">
        <f aca="false">Supuestos!$C$114*(1+Supuestos!$C$31)^9*Estacionalidad!M$6*CG$18</f>
        <v>19602597640.0623</v>
      </c>
      <c r="CH8" s="57" t="n">
        <f aca="false">Supuestos!$C$114*(1+Supuestos!$C$31)^9*Estacionalidad!N$6*CH$18</f>
        <v>21072792463.067</v>
      </c>
      <c r="CI8" s="57" t="n">
        <f aca="false">Supuestos!$C$114*(1+Supuestos!$C$31)^10*Estacionalidad!C$6*CI$18</f>
        <v>24481439160.2034</v>
      </c>
      <c r="CJ8" s="57" t="n">
        <f aca="false">Supuestos!$C$114*(1+Supuestos!$C$31)^10*Estacionalidad!D$6*CJ$18</f>
        <v>19984848294.0436</v>
      </c>
      <c r="CK8" s="57" t="n">
        <f aca="false">Supuestos!$C$114*(1+Supuestos!$C$31)^10*Estacionalidad!E$6*CK$18</f>
        <v>20984090708.7457</v>
      </c>
      <c r="CL8" s="57" t="n">
        <f aca="false">Supuestos!$C$114*(1+Supuestos!$C$31)^10*Estacionalidad!F$6*CL$18</f>
        <v>20484469501.3946</v>
      </c>
      <c r="CM8" s="57" t="n">
        <f aca="false">Supuestos!$C$114*(1+Supuestos!$C$31)^10*Estacionalidad!G$6*CM$18</f>
        <v>19984848294.0436</v>
      </c>
      <c r="CN8" s="57" t="n">
        <f aca="false">Supuestos!$C$114*(1+Supuestos!$C$31)^10*Estacionalidad!H$6*CN$18</f>
        <v>20484469501.3946</v>
      </c>
      <c r="CO8" s="57" t="n">
        <f aca="false">Supuestos!$C$114*(1+Supuestos!$C$31)^10*Estacionalidad!I$6*CO$18</f>
        <v>20984090708.7457</v>
      </c>
      <c r="CP8" s="57" t="n">
        <f aca="false">Supuestos!$C$114*(1+Supuestos!$C$31)^10*Estacionalidad!J$6*CP$18</f>
        <v>20484469501.3946</v>
      </c>
      <c r="CQ8" s="57" t="n">
        <f aca="false">Supuestos!$C$114*(1+Supuestos!$C$31)^10*Estacionalidad!K$6*CQ$18</f>
        <v>19984848294.0436</v>
      </c>
      <c r="CR8" s="57" t="n">
        <f aca="false">Supuestos!$C$114*(1+Supuestos!$C$31)^10*Estacionalidad!L$6*CR$18</f>
        <v>20484469501.3946</v>
      </c>
      <c r="CS8" s="57" t="n">
        <f aca="false">Supuestos!$C$114*(1+Supuestos!$C$31)^10*Estacionalidad!M$6*CS$18</f>
        <v>19984848294.0436</v>
      </c>
      <c r="CT8" s="57" t="n">
        <f aca="false">Supuestos!$C$114*(1+Supuestos!$C$31)^10*Estacionalidad!N$6*CT$18</f>
        <v>21483711916.0968</v>
      </c>
    </row>
    <row r="9" customFormat="false" ht="15" hidden="false" customHeight="true" outlineLevel="0" collapsed="false">
      <c r="A9" s="2"/>
      <c r="B9" s="19" t="s">
        <v>553</v>
      </c>
      <c r="C9" s="57" t="n">
        <f aca="false">IF(Supuestos!$C$142=1,Supuestos!$C$138,Supuestos!$C$134)*Estacionalidad!C$6*C$18</f>
        <v>160379699.704</v>
      </c>
      <c r="D9" s="57" t="n">
        <f aca="false">IF(Supuestos!$C$142=1,Supuestos!$C$138,Supuestos!$C$134)*Estacionalidad!D$6*D$18</f>
        <v>130922203.84</v>
      </c>
      <c r="E9" s="57" t="n">
        <f aca="false">IF(Supuestos!$C$142=1,Supuestos!$C$138,Supuestos!$C$134)*Estacionalidad!E$6*E$18</f>
        <v>137468314.032</v>
      </c>
      <c r="F9" s="57" t="n">
        <f aca="false">IF(Supuestos!$C$142=1,Supuestos!$C$138,Supuestos!$C$134)*Estacionalidad!F$6*F$18</f>
        <v>134195258.936</v>
      </c>
      <c r="G9" s="57" t="n">
        <f aca="false">IF(Supuestos!$C$142=1,Supuestos!$C$138,Supuestos!$C$134)*Estacionalidad!G$6*G$18</f>
        <v>130922203.84</v>
      </c>
      <c r="H9" s="57" t="n">
        <f aca="false">IF(Supuestos!$C$142=1,Supuestos!$C$138,Supuestos!$C$134)*Estacionalidad!H$6*H$18</f>
        <v>134195258.936</v>
      </c>
      <c r="I9" s="57" t="n">
        <f aca="false">IF(Supuestos!$C$142=1,Supuestos!$C$138,Supuestos!$C$134)*Estacionalidad!I$6*I$18</f>
        <v>137468314.032</v>
      </c>
      <c r="J9" s="57" t="n">
        <f aca="false">IF(Supuestos!$C$142=1,Supuestos!$C$138,Supuestos!$C$134)*Estacionalidad!J$6*J$18</f>
        <v>134195258.936</v>
      </c>
      <c r="K9" s="57" t="n">
        <f aca="false">IF(Supuestos!$C$142=1,Supuestos!$C$138,Supuestos!$C$134)*Estacionalidad!K$6*K$18</f>
        <v>130922203.84</v>
      </c>
      <c r="L9" s="57" t="n">
        <f aca="false">IF(Supuestos!$C$142=1,Supuestos!$C$138,Supuestos!$C$134)*Estacionalidad!L$6*L$18</f>
        <v>134195258.936</v>
      </c>
      <c r="M9" s="57" t="n">
        <f aca="false">IF(Supuestos!$C$142=1,Supuestos!$C$138,Supuestos!$C$134)*Estacionalidad!M$6*M$18</f>
        <v>130922203.84</v>
      </c>
      <c r="N9" s="57" t="n">
        <f aca="false">IF(Supuestos!$C$142=1,Supuestos!$C$138,Supuestos!$C$134)*Estacionalidad!N$6*N$18</f>
        <v>140741369.128</v>
      </c>
      <c r="O9" s="57" t="n">
        <f aca="false">IF(Supuestos!$C$142=1,Supuestos!$C$139,Supuestos!$C$135)*Estacionalidad!C$6*O$18</f>
        <v>475383586.65</v>
      </c>
      <c r="P9" s="57" t="n">
        <f aca="false">IF(Supuestos!$C$142=1,Supuestos!$C$139,Supuestos!$C$135)*Estacionalidad!D$6*P$18</f>
        <v>388068234</v>
      </c>
      <c r="Q9" s="57" t="n">
        <f aca="false">IF(Supuestos!$C$142=1,Supuestos!$C$139,Supuestos!$C$135)*Estacionalidad!E$6*Q$18</f>
        <v>407471645.7</v>
      </c>
      <c r="R9" s="57" t="n">
        <f aca="false">IF(Supuestos!$C$142=1,Supuestos!$C$139,Supuestos!$C$135)*Estacionalidad!F$6*R$18</f>
        <v>397769939.85</v>
      </c>
      <c r="S9" s="57" t="n">
        <f aca="false">IF(Supuestos!$C$142=1,Supuestos!$C$139,Supuestos!$C$135)*Estacionalidad!G$6*S$18</f>
        <v>388068234</v>
      </c>
      <c r="T9" s="57" t="n">
        <f aca="false">IF(Supuestos!$C$142=1,Supuestos!$C$139,Supuestos!$C$135)*Estacionalidad!H$6*T$18</f>
        <v>397769939.85</v>
      </c>
      <c r="U9" s="57" t="n">
        <f aca="false">IF(Supuestos!$C$142=1,Supuestos!$C$139,Supuestos!$C$135)*Estacionalidad!I$6*U$18</f>
        <v>407471645.7</v>
      </c>
      <c r="V9" s="57" t="n">
        <f aca="false">IF(Supuestos!$C$142=1,Supuestos!$C$139,Supuestos!$C$135)*Estacionalidad!J$6*V$18</f>
        <v>397769939.85</v>
      </c>
      <c r="W9" s="57" t="n">
        <f aca="false">IF(Supuestos!$C$142=1,Supuestos!$C$139,Supuestos!$C$135)*Estacionalidad!K$6*W$18</f>
        <v>388068234</v>
      </c>
      <c r="X9" s="57" t="n">
        <f aca="false">IF(Supuestos!$C$142=1,Supuestos!$C$139,Supuestos!$C$135)*Estacionalidad!L$6*X$18</f>
        <v>397769939.85</v>
      </c>
      <c r="Y9" s="57" t="n">
        <f aca="false">IF(Supuestos!$C$142=1,Supuestos!$C$139,Supuestos!$C$135)*Estacionalidad!M$6*Y$18</f>
        <v>388068234</v>
      </c>
      <c r="Z9" s="57" t="n">
        <f aca="false">IF(Supuestos!$C$142=1,Supuestos!$C$139,Supuestos!$C$135)*Estacionalidad!N$6*Z$18</f>
        <v>417173351.55</v>
      </c>
      <c r="AA9" s="57" t="n">
        <f aca="false">IF(Supuestos!$C$142=1,Supuestos!$C$140,Supuestos!$C$136)*Estacionalidad!C$6*AA$18</f>
        <v>581751407.888</v>
      </c>
      <c r="AB9" s="57" t="n">
        <f aca="false">IF(Supuestos!$C$142=1,Supuestos!$C$140,Supuestos!$C$136)*Estacionalidad!D$6*AB$18</f>
        <v>474899108.48</v>
      </c>
      <c r="AC9" s="57" t="n">
        <f aca="false">IF(Supuestos!$C$142=1,Supuestos!$C$140,Supuestos!$C$136)*Estacionalidad!E$6*AC$18</f>
        <v>498644063.904</v>
      </c>
      <c r="AD9" s="57" t="n">
        <f aca="false">IF(Supuestos!$C$142=1,Supuestos!$C$140,Supuestos!$C$136)*Estacionalidad!F$6*AD$18</f>
        <v>486771586.192</v>
      </c>
      <c r="AE9" s="57" t="n">
        <f aca="false">IF(Supuestos!$C$142=1,Supuestos!$C$140,Supuestos!$C$136)*Estacionalidad!G$6*AE$18</f>
        <v>474899108.48</v>
      </c>
      <c r="AF9" s="57" t="n">
        <f aca="false">IF(Supuestos!$C$142=1,Supuestos!$C$140,Supuestos!$C$136)*Estacionalidad!H$6*AF$18</f>
        <v>486771586.192</v>
      </c>
      <c r="AG9" s="57" t="n">
        <f aca="false">IF(Supuestos!$C$142=1,Supuestos!$C$140,Supuestos!$C$136)*Estacionalidad!I$6*AG$18</f>
        <v>498644063.904</v>
      </c>
      <c r="AH9" s="57" t="n">
        <f aca="false">IF(Supuestos!$C$142=1,Supuestos!$C$140,Supuestos!$C$136)*Estacionalidad!J$6*AH$18</f>
        <v>486771586.192</v>
      </c>
      <c r="AI9" s="57" t="n">
        <f aca="false">IF(Supuestos!$C$142=1,Supuestos!$C$140,Supuestos!$C$136)*Estacionalidad!K$6*AI$18</f>
        <v>474899108.48</v>
      </c>
      <c r="AJ9" s="57" t="n">
        <f aca="false">IF(Supuestos!$C$142=1,Supuestos!$C$140,Supuestos!$C$136)*Estacionalidad!L$6*AJ$18</f>
        <v>486771586.192</v>
      </c>
      <c r="AK9" s="57" t="n">
        <f aca="false">IF(Supuestos!$C$142=1,Supuestos!$C$140,Supuestos!$C$136)*Estacionalidad!M$6*AK$18</f>
        <v>474899108.48</v>
      </c>
      <c r="AL9" s="57" t="n">
        <f aca="false">IF(Supuestos!$C$142=1,Supuestos!$C$140,Supuestos!$C$136)*Estacionalidad!N$6*AL$18</f>
        <v>510516541.616</v>
      </c>
      <c r="AM9" s="57" t="n">
        <f aca="false">IF(Supuestos!$C$142=1,Supuestos!$C$141,Supuestos!$C$137)*Estacionalidad!C$6*AM$18</f>
        <v>586356194.354</v>
      </c>
      <c r="AN9" s="57" t="n">
        <f aca="false">IF(Supuestos!$C$142=1,Supuestos!$C$141,Supuestos!$C$137)*Estacionalidad!D$6*AN$18</f>
        <v>478658117.84</v>
      </c>
      <c r="AO9" s="57" t="n">
        <f aca="false">IF(Supuestos!$C$142=1,Supuestos!$C$141,Supuestos!$C$137)*Estacionalidad!E$6*AO$18</f>
        <v>502591023.732</v>
      </c>
      <c r="AP9" s="57" t="n">
        <f aca="false">IF(Supuestos!$C$142=1,Supuestos!$C$141,Supuestos!$C$137)*Estacionalidad!F$6*AP$18</f>
        <v>490624570.786</v>
      </c>
      <c r="AQ9" s="57" t="n">
        <f aca="false">IF(Supuestos!$C$142=1,Supuestos!$C$141,Supuestos!$C$137)*Estacionalidad!G$6*AQ$18</f>
        <v>478658117.84</v>
      </c>
      <c r="AR9" s="57" t="n">
        <f aca="false">IF(Supuestos!$C$142=1,Supuestos!$C$141,Supuestos!$C$137)*Estacionalidad!H$6*AR$18</f>
        <v>490624570.786</v>
      </c>
      <c r="AS9" s="57" t="n">
        <f aca="false">IF(Supuestos!$C$142=1,Supuestos!$C$141,Supuestos!$C$137)*Estacionalidad!I$6*AS$18</f>
        <v>502591023.732</v>
      </c>
      <c r="AT9" s="57" t="n">
        <f aca="false">IF(Supuestos!$C$142=1,Supuestos!$C$141,Supuestos!$C$137)*Estacionalidad!J$6*AT$18</f>
        <v>490624570.786</v>
      </c>
      <c r="AU9" s="57" t="n">
        <f aca="false">IF(Supuestos!$C$142=1,Supuestos!$C$141,Supuestos!$C$137)*Estacionalidad!K$6*AU$18</f>
        <v>478658117.84</v>
      </c>
      <c r="AV9" s="57" t="n">
        <f aca="false">IF(Supuestos!$C$142=1,Supuestos!$C$141,Supuestos!$C$137)*Estacionalidad!L$6*AV$18</f>
        <v>490624570.786</v>
      </c>
      <c r="AW9" s="57" t="n">
        <f aca="false">IF(Supuestos!$C$142=1,Supuestos!$C$141,Supuestos!$C$137)*Estacionalidad!M$6*AW$18</f>
        <v>478658117.84</v>
      </c>
      <c r="AX9" s="57" t="n">
        <f aca="false">IF(Supuestos!$C$142=1,Supuestos!$C$141,Supuestos!$C$137)*Estacionalidad!N$6*AX$18</f>
        <v>514557476.678</v>
      </c>
      <c r="AY9" s="57" t="n">
        <f aca="false">IF(Supuestos!$C$142=1,Supuestos!$C$141,Supuestos!$C$137)*Estacionalidad!C$6*AY$18</f>
        <v>586356194.354</v>
      </c>
      <c r="AZ9" s="57" t="n">
        <f aca="false">IF(Supuestos!$C$142=1,Supuestos!$C$141,Supuestos!$C$137)*Estacionalidad!D$6*AZ$18</f>
        <v>478658117.84</v>
      </c>
      <c r="BA9" s="57" t="n">
        <f aca="false">IF(Supuestos!$C$142=1,Supuestos!$C$141,Supuestos!$C$137)*Estacionalidad!E$6*BA$18</f>
        <v>502591023.732</v>
      </c>
      <c r="BB9" s="57" t="n">
        <f aca="false">IF(Supuestos!$C$142=1,Supuestos!$C$141,Supuestos!$C$137)*Estacionalidad!F$6*BB$18</f>
        <v>490624570.786</v>
      </c>
      <c r="BC9" s="57" t="n">
        <f aca="false">IF(Supuestos!$C$142=1,Supuestos!$C$141,Supuestos!$C$137)*Estacionalidad!G$6*BC$18</f>
        <v>478658117.84</v>
      </c>
      <c r="BD9" s="57" t="n">
        <f aca="false">IF(Supuestos!$C$142=1,Supuestos!$C$141,Supuestos!$C$137)*Estacionalidad!H$6*BD$18</f>
        <v>490624570.786</v>
      </c>
      <c r="BE9" s="57" t="n">
        <f aca="false">IF(Supuestos!$C$142=1,Supuestos!$C$141,Supuestos!$C$137)*Estacionalidad!I$6*BE$18</f>
        <v>502591023.732</v>
      </c>
      <c r="BF9" s="57" t="n">
        <f aca="false">IF(Supuestos!$C$142=1,Supuestos!$C$141,Supuestos!$C$137)*Estacionalidad!J$6*BF$18</f>
        <v>490624570.786</v>
      </c>
      <c r="BG9" s="57" t="n">
        <f aca="false">IF(Supuestos!$C$142=1,Supuestos!$C$141,Supuestos!$C$137)*Estacionalidad!K$6*BG$18</f>
        <v>478658117.84</v>
      </c>
      <c r="BH9" s="57" t="n">
        <f aca="false">IF(Supuestos!$C$142=1,Supuestos!$C$141,Supuestos!$C$137)*Estacionalidad!L$6*BH$18</f>
        <v>490624570.786</v>
      </c>
      <c r="BI9" s="57" t="n">
        <f aca="false">IF(Supuestos!$C$142=1,Supuestos!$C$141,Supuestos!$C$137)*Estacionalidad!M$6*BI$18</f>
        <v>478658117.84</v>
      </c>
      <c r="BJ9" s="57" t="n">
        <f aca="false">IF(Supuestos!$C$142=1,Supuestos!$C$141,Supuestos!$C$137)*Estacionalidad!N$6*BJ$18</f>
        <v>514557476.678</v>
      </c>
      <c r="BK9" s="57" t="n">
        <f aca="false">IF(Supuestos!$C$142=1,Supuestos!$C$141,Supuestos!$C$137)*Estacionalidad!C$6*BK$18</f>
        <v>586356194.354</v>
      </c>
      <c r="BL9" s="57" t="n">
        <f aca="false">IF(Supuestos!$C$142=1,Supuestos!$C$141,Supuestos!$C$137)*Estacionalidad!D$6*BL$18</f>
        <v>478658117.84</v>
      </c>
      <c r="BM9" s="57" t="n">
        <f aca="false">IF(Supuestos!$C$142=1,Supuestos!$C$141,Supuestos!$C$137)*Estacionalidad!E$6*BM$18</f>
        <v>502591023.732</v>
      </c>
      <c r="BN9" s="57" t="n">
        <f aca="false">IF(Supuestos!$C$142=1,Supuestos!$C$141,Supuestos!$C$137)*Estacionalidad!F$6*BN$18</f>
        <v>490624570.786</v>
      </c>
      <c r="BO9" s="57" t="n">
        <f aca="false">IF(Supuestos!$C$142=1,Supuestos!$C$141,Supuestos!$C$137)*Estacionalidad!G$6*BO$18</f>
        <v>478658117.84</v>
      </c>
      <c r="BP9" s="57" t="n">
        <f aca="false">IF(Supuestos!$C$142=1,Supuestos!$C$141,Supuestos!$C$137)*Estacionalidad!H$6*BP$18</f>
        <v>490624570.786</v>
      </c>
      <c r="BQ9" s="57" t="n">
        <f aca="false">IF(Supuestos!$C$142=1,Supuestos!$C$141,Supuestos!$C$137)*Estacionalidad!I$6*BQ$18</f>
        <v>502591023.732</v>
      </c>
      <c r="BR9" s="57" t="n">
        <f aca="false">IF(Supuestos!$C$142=1,Supuestos!$C$141,Supuestos!$C$137)*Estacionalidad!J$6*BR$18</f>
        <v>490624570.786</v>
      </c>
      <c r="BS9" s="57" t="n">
        <f aca="false">IF(Supuestos!$C$142=1,Supuestos!$C$141,Supuestos!$C$137)*Estacionalidad!K$6*BS$18</f>
        <v>478658117.84</v>
      </c>
      <c r="BT9" s="57" t="n">
        <f aca="false">IF(Supuestos!$C$142=1,Supuestos!$C$141,Supuestos!$C$137)*Estacionalidad!L$6*BT$18</f>
        <v>490624570.786</v>
      </c>
      <c r="BU9" s="57" t="n">
        <f aca="false">IF(Supuestos!$C$142=1,Supuestos!$C$141,Supuestos!$C$137)*Estacionalidad!M$6*BU$18</f>
        <v>478658117.84</v>
      </c>
      <c r="BV9" s="57" t="n">
        <f aca="false">IF(Supuestos!$C$142=1,Supuestos!$C$141,Supuestos!$C$137)*Estacionalidad!N$6*BV$18</f>
        <v>514557476.678</v>
      </c>
      <c r="BW9" s="57" t="n">
        <f aca="false">IF(Supuestos!$C$142=1,Supuestos!$C$141,Supuestos!$C$137)*Estacionalidad!C$6*BW$18</f>
        <v>586356194.354</v>
      </c>
      <c r="BX9" s="57" t="n">
        <f aca="false">IF(Supuestos!$C$142=1,Supuestos!$C$141,Supuestos!$C$137)*Estacionalidad!D$6*BX$18</f>
        <v>478658117.84</v>
      </c>
      <c r="BY9" s="57" t="n">
        <f aca="false">IF(Supuestos!$C$142=1,Supuestos!$C$141,Supuestos!$C$137)*Estacionalidad!E$6*BY$18</f>
        <v>502591023.732</v>
      </c>
      <c r="BZ9" s="57" t="n">
        <f aca="false">IF(Supuestos!$C$142=1,Supuestos!$C$141,Supuestos!$C$137)*Estacionalidad!F$6*BZ$18</f>
        <v>490624570.786</v>
      </c>
      <c r="CA9" s="57" t="n">
        <f aca="false">IF(Supuestos!$C$142=1,Supuestos!$C$141,Supuestos!$C$137)*Estacionalidad!G$6*CA$18</f>
        <v>478658117.84</v>
      </c>
      <c r="CB9" s="57" t="n">
        <f aca="false">IF(Supuestos!$C$142=1,Supuestos!$C$141,Supuestos!$C$137)*Estacionalidad!H$6*CB$18</f>
        <v>490624570.786</v>
      </c>
      <c r="CC9" s="57" t="n">
        <f aca="false">IF(Supuestos!$C$142=1,Supuestos!$C$141,Supuestos!$C$137)*Estacionalidad!I$6*CC$18</f>
        <v>502591023.732</v>
      </c>
      <c r="CD9" s="57" t="n">
        <f aca="false">IF(Supuestos!$C$142=1,Supuestos!$C$141,Supuestos!$C$137)*Estacionalidad!J$6*CD$18</f>
        <v>490624570.786</v>
      </c>
      <c r="CE9" s="57" t="n">
        <f aca="false">IF(Supuestos!$C$142=1,Supuestos!$C$141,Supuestos!$C$137)*Estacionalidad!K$6*CE$18</f>
        <v>478658117.84</v>
      </c>
      <c r="CF9" s="57" t="n">
        <f aca="false">IF(Supuestos!$C$142=1,Supuestos!$C$141,Supuestos!$C$137)*Estacionalidad!L$6*CF$18</f>
        <v>490624570.786</v>
      </c>
      <c r="CG9" s="57" t="n">
        <f aca="false">IF(Supuestos!$C$142=1,Supuestos!$C$141,Supuestos!$C$137)*Estacionalidad!M$6*CG$18</f>
        <v>478658117.84</v>
      </c>
      <c r="CH9" s="57" t="n">
        <f aca="false">IF(Supuestos!$C$142=1,Supuestos!$C$141,Supuestos!$C$137)*Estacionalidad!N$6*CH$18</f>
        <v>514557476.678</v>
      </c>
      <c r="CI9" s="57" t="n">
        <f aca="false">IF(Supuestos!$C$142=1,Supuestos!$C$141,Supuestos!$C$137)*Estacionalidad!C$6*CI$18</f>
        <v>586356194.354</v>
      </c>
      <c r="CJ9" s="57" t="n">
        <f aca="false">IF(Supuestos!$C$142=1,Supuestos!$C$141,Supuestos!$C$137)*Estacionalidad!D$6*CJ$18</f>
        <v>478658117.84</v>
      </c>
      <c r="CK9" s="57" t="n">
        <f aca="false">IF(Supuestos!$C$142=1,Supuestos!$C$141,Supuestos!$C$137)*Estacionalidad!E$6*CK$18</f>
        <v>502591023.732</v>
      </c>
      <c r="CL9" s="57" t="n">
        <f aca="false">IF(Supuestos!$C$142=1,Supuestos!$C$141,Supuestos!$C$137)*Estacionalidad!F$6*CL$18</f>
        <v>490624570.786</v>
      </c>
      <c r="CM9" s="57" t="n">
        <f aca="false">IF(Supuestos!$C$142=1,Supuestos!$C$141,Supuestos!$C$137)*Estacionalidad!G$6*CM$18</f>
        <v>478658117.84</v>
      </c>
      <c r="CN9" s="57" t="n">
        <f aca="false">IF(Supuestos!$C$142=1,Supuestos!$C$141,Supuestos!$C$137)*Estacionalidad!H$6*CN$18</f>
        <v>490624570.786</v>
      </c>
      <c r="CO9" s="57" t="n">
        <f aca="false">IF(Supuestos!$C$142=1,Supuestos!$C$141,Supuestos!$C$137)*Estacionalidad!I$6*CO$18</f>
        <v>502591023.732</v>
      </c>
      <c r="CP9" s="57" t="n">
        <f aca="false">IF(Supuestos!$C$142=1,Supuestos!$C$141,Supuestos!$C$137)*Estacionalidad!J$6*CP$18</f>
        <v>490624570.786</v>
      </c>
      <c r="CQ9" s="57" t="n">
        <f aca="false">IF(Supuestos!$C$142=1,Supuestos!$C$141,Supuestos!$C$137)*Estacionalidad!K$6*CQ$18</f>
        <v>478658117.84</v>
      </c>
      <c r="CR9" s="57" t="n">
        <f aca="false">IF(Supuestos!$C$142=1,Supuestos!$C$141,Supuestos!$C$137)*Estacionalidad!L$6*CR$18</f>
        <v>490624570.786</v>
      </c>
      <c r="CS9" s="57" t="n">
        <f aca="false">IF(Supuestos!$C$142=1,Supuestos!$C$141,Supuestos!$C$137)*Estacionalidad!M$6*CS$18</f>
        <v>478658117.84</v>
      </c>
      <c r="CT9" s="57" t="n">
        <f aca="false">IF(Supuestos!$C$142=1,Supuestos!$C$141,Supuestos!$C$137)*Estacionalidad!N$6*CT$18</f>
        <v>514557476.678</v>
      </c>
    </row>
    <row r="10" customFormat="false" ht="15" hidden="false" customHeight="true" outlineLevel="0" collapsed="false">
      <c r="A10" s="2"/>
      <c r="B10" s="19" t="s">
        <v>554</v>
      </c>
      <c r="C10" s="57" t="n">
        <f aca="false">Supuestos!$C$115*Supuestos!$C$118*(1+Supuestos!$C$32)^3*Estacionalidad!C$7*C$18</f>
        <v>5611057186.86815</v>
      </c>
      <c r="D10" s="57" t="n">
        <f aca="false">Supuestos!$C$115*Supuestos!$C$118*(1+Supuestos!$C$32)^3*Estacionalidad!D$7*D$18</f>
        <v>5475850989.59422</v>
      </c>
      <c r="E10" s="57" t="n">
        <f aca="false">Supuestos!$C$115*Supuestos!$C$118*(1+Supuestos!$C$32)^3*Estacionalidad!E$7*E$18</f>
        <v>5746263384.14208</v>
      </c>
      <c r="F10" s="57" t="n">
        <f aca="false">Supuestos!$C$115*Supuestos!$C$118*(1+Supuestos!$C$32)^3*Estacionalidad!F$7*F$18</f>
        <v>5678660285.50511</v>
      </c>
      <c r="G10" s="57" t="n">
        <f aca="false">Supuestos!$C$115*Supuestos!$C$118*(1+Supuestos!$C$32)^3*Estacionalidad!G$7*G$18</f>
        <v>5611057186.86815</v>
      </c>
      <c r="H10" s="57" t="n">
        <f aca="false">Supuestos!$C$115*Supuestos!$C$118*(1+Supuestos!$C$32)^3*Estacionalidad!H$7*H$18</f>
        <v>5678660285.50511</v>
      </c>
      <c r="I10" s="57" t="n">
        <f aca="false">Supuestos!$C$115*Supuestos!$C$118*(1+Supuestos!$C$32)^3*Estacionalidad!I$7*I$18</f>
        <v>5746263384.14208</v>
      </c>
      <c r="J10" s="57" t="n">
        <f aca="false">Supuestos!$C$115*Supuestos!$C$118*(1+Supuestos!$C$32)^3*Estacionalidad!J$7*J$18</f>
        <v>5678660285.50511</v>
      </c>
      <c r="K10" s="57" t="n">
        <f aca="false">Supuestos!$C$115*Supuestos!$C$118*(1+Supuestos!$C$32)^3*Estacionalidad!K$7*K$18</f>
        <v>5611057186.86815</v>
      </c>
      <c r="L10" s="57" t="n">
        <f aca="false">Supuestos!$C$115*Supuestos!$C$118*(1+Supuestos!$C$32)^3*Estacionalidad!L$7*L$18</f>
        <v>5678660285.50511</v>
      </c>
      <c r="M10" s="57" t="n">
        <f aca="false">Supuestos!$C$115*Supuestos!$C$118*(1+Supuestos!$C$32)^3*Estacionalidad!M$7*M$18</f>
        <v>5611057186.86815</v>
      </c>
      <c r="N10" s="57" t="n">
        <f aca="false">Supuestos!$C$115*Supuestos!$C$118*(1+Supuestos!$C$32)^3*Estacionalidad!N$7*N$18</f>
        <v>5475850989.59422</v>
      </c>
      <c r="O10" s="57" t="n">
        <f aca="false">Supuestos!$C$115*Supuestos!$C$118*(1+Supuestos!$C$32)^4*Estacionalidad!C$7*O$18</f>
        <v>5487838371.04452</v>
      </c>
      <c r="P10" s="57" t="n">
        <f aca="false">Supuestos!$C$115*Supuestos!$C$118*(1+Supuestos!$C$32)^4*Estacionalidad!D$7*P$18</f>
        <v>5355601301.86273</v>
      </c>
      <c r="Q10" s="57" t="n">
        <f aca="false">Supuestos!$C$115*Supuestos!$C$118*(1+Supuestos!$C$32)^4*Estacionalidad!E$7*Q$18</f>
        <v>5620075440.22632</v>
      </c>
      <c r="R10" s="57" t="n">
        <f aca="false">Supuestos!$C$115*Supuestos!$C$118*(1+Supuestos!$C$32)^4*Estacionalidad!F$7*R$18</f>
        <v>5553956905.63542</v>
      </c>
      <c r="S10" s="57" t="n">
        <f aca="false">Supuestos!$C$115*Supuestos!$C$118*(1+Supuestos!$C$32)^4*Estacionalidad!G$7*S$18</f>
        <v>5487838371.04452</v>
      </c>
      <c r="T10" s="57" t="n">
        <f aca="false">Supuestos!$C$115*Supuestos!$C$118*(1+Supuestos!$C$32)^4*Estacionalidad!H$7*T$18</f>
        <v>5553956905.63542</v>
      </c>
      <c r="U10" s="57" t="n">
        <f aca="false">Supuestos!$C$115*Supuestos!$C$118*(1+Supuestos!$C$32)^4*Estacionalidad!I$7*U$18</f>
        <v>5620075440.22632</v>
      </c>
      <c r="V10" s="57" t="n">
        <f aca="false">Supuestos!$C$115*Supuestos!$C$118*(1+Supuestos!$C$32)^4*Estacionalidad!J$7*V$18</f>
        <v>5553956905.63542</v>
      </c>
      <c r="W10" s="57" t="n">
        <f aca="false">Supuestos!$C$115*Supuestos!$C$118*(1+Supuestos!$C$32)^4*Estacionalidad!K$7*W$18</f>
        <v>5487838371.04452</v>
      </c>
      <c r="X10" s="57" t="n">
        <f aca="false">Supuestos!$C$115*Supuestos!$C$118*(1+Supuestos!$C$32)^4*Estacionalidad!L$7*X$18</f>
        <v>5553956905.63542</v>
      </c>
      <c r="Y10" s="57" t="n">
        <f aca="false">Supuestos!$C$115*Supuestos!$C$118*(1+Supuestos!$C$32)^4*Estacionalidad!M$7*Y$18</f>
        <v>5487838371.04452</v>
      </c>
      <c r="Z10" s="57" t="n">
        <f aca="false">Supuestos!$C$115*Supuestos!$C$118*(1+Supuestos!$C$32)^4*Estacionalidad!N$7*Z$18</f>
        <v>5355601301.86273</v>
      </c>
      <c r="AA10" s="57" t="n">
        <f aca="false">Supuestos!$C$115*Supuestos!$C$118*(1+Supuestos!$C$32)^5*Estacionalidad!C$7*AA$18</f>
        <v>5367325440.41639</v>
      </c>
      <c r="AB10" s="57" t="n">
        <f aca="false">Supuestos!$C$115*Supuestos!$C$118*(1+Supuestos!$C$32)^5*Estacionalidad!D$7*AB$18</f>
        <v>5237992297.27382</v>
      </c>
      <c r="AC10" s="57" t="n">
        <f aca="false">Supuestos!$C$115*Supuestos!$C$118*(1+Supuestos!$C$32)^5*Estacionalidad!E$7*AC$18</f>
        <v>5496658583.55895</v>
      </c>
      <c r="AD10" s="57" t="n">
        <f aca="false">Supuestos!$C$115*Supuestos!$C$118*(1+Supuestos!$C$32)^5*Estacionalidad!F$7*AD$18</f>
        <v>5431992011.98767</v>
      </c>
      <c r="AE10" s="57" t="n">
        <f aca="false">Supuestos!$C$115*Supuestos!$C$118*(1+Supuestos!$C$32)^5*Estacionalidad!G$7*AE$18</f>
        <v>5367325440.41639</v>
      </c>
      <c r="AF10" s="57" t="n">
        <f aca="false">Supuestos!$C$115*Supuestos!$C$118*(1+Supuestos!$C$32)^5*Estacionalidad!H$7*AF$18</f>
        <v>5431992011.98767</v>
      </c>
      <c r="AG10" s="57" t="n">
        <f aca="false">Supuestos!$C$115*Supuestos!$C$118*(1+Supuestos!$C$32)^5*Estacionalidad!I$7*AG$18</f>
        <v>5496658583.55895</v>
      </c>
      <c r="AH10" s="57" t="n">
        <f aca="false">Supuestos!$C$115*Supuestos!$C$118*(1+Supuestos!$C$32)^5*Estacionalidad!J$7*AH$18</f>
        <v>5431992011.98767</v>
      </c>
      <c r="AI10" s="57" t="n">
        <f aca="false">Supuestos!$C$115*Supuestos!$C$118*(1+Supuestos!$C$32)^5*Estacionalidad!K$7*AI$18</f>
        <v>5367325440.41639</v>
      </c>
      <c r="AJ10" s="57" t="n">
        <f aca="false">Supuestos!$C$115*Supuestos!$C$118*(1+Supuestos!$C$32)^5*Estacionalidad!L$7*AJ$18</f>
        <v>5431992011.98767</v>
      </c>
      <c r="AK10" s="57" t="n">
        <f aca="false">Supuestos!$C$115*Supuestos!$C$118*(1+Supuestos!$C$32)^5*Estacionalidad!M$7*AK$18</f>
        <v>5367325440.41639</v>
      </c>
      <c r="AL10" s="57" t="n">
        <f aca="false">Supuestos!$C$115*Supuestos!$C$118*(1+Supuestos!$C$32)^5*Estacionalidad!N$7*AL$18</f>
        <v>5237992297.27382</v>
      </c>
      <c r="AM10" s="57" t="n">
        <f aca="false">Supuestos!$C$115*Supuestos!$C$118*(1+Supuestos!$C$32)^6*Estacionalidad!C$7*AM$18</f>
        <v>5249458973.74484</v>
      </c>
      <c r="AN10" s="57" t="n">
        <f aca="false">Supuestos!$C$115*Supuestos!$C$118*(1+Supuestos!$C$32)^6*Estacionalidad!D$7*AN$18</f>
        <v>5122965986.42569</v>
      </c>
      <c r="AO10" s="57" t="n">
        <f aca="false">Supuestos!$C$115*Supuestos!$C$118*(1+Supuestos!$C$32)^6*Estacionalidad!E$7*AO$18</f>
        <v>5375951961.064</v>
      </c>
      <c r="AP10" s="57" t="n">
        <f aca="false">Supuestos!$C$115*Supuestos!$C$118*(1+Supuestos!$C$32)^6*Estacionalidad!F$7*AP$18</f>
        <v>5312705467.40442</v>
      </c>
      <c r="AQ10" s="57" t="n">
        <f aca="false">Supuestos!$C$115*Supuestos!$C$118*(1+Supuestos!$C$32)^6*Estacionalidad!G$7*AQ$18</f>
        <v>5249458973.74484</v>
      </c>
      <c r="AR10" s="57" t="n">
        <f aca="false">Supuestos!$C$115*Supuestos!$C$118*(1+Supuestos!$C$32)^6*Estacionalidad!H$7*AR$18</f>
        <v>5312705467.40442</v>
      </c>
      <c r="AS10" s="57" t="n">
        <f aca="false">Supuestos!$C$115*Supuestos!$C$118*(1+Supuestos!$C$32)^6*Estacionalidad!I$7*AS$18</f>
        <v>5375951961.064</v>
      </c>
      <c r="AT10" s="57" t="n">
        <f aca="false">Supuestos!$C$115*Supuestos!$C$118*(1+Supuestos!$C$32)^6*Estacionalidad!J$7*AT$18</f>
        <v>5312705467.40442</v>
      </c>
      <c r="AU10" s="57" t="n">
        <f aca="false">Supuestos!$C$115*Supuestos!$C$118*(1+Supuestos!$C$32)^6*Estacionalidad!K$7*AU$18</f>
        <v>5249458973.74484</v>
      </c>
      <c r="AV10" s="57" t="n">
        <f aca="false">Supuestos!$C$115*Supuestos!$C$118*(1+Supuestos!$C$32)^6*Estacionalidad!L$7*AV$18</f>
        <v>5312705467.40442</v>
      </c>
      <c r="AW10" s="57" t="n">
        <f aca="false">Supuestos!$C$115*Supuestos!$C$118*(1+Supuestos!$C$32)^6*Estacionalidad!M$7*AW$18</f>
        <v>5249458973.74484</v>
      </c>
      <c r="AX10" s="57" t="n">
        <f aca="false">Supuestos!$C$115*Supuestos!$C$118*(1+Supuestos!$C$32)^6*Estacionalidad!N$7*AX$18</f>
        <v>5122965986.42569</v>
      </c>
      <c r="AY10" s="57" t="n">
        <f aca="false">Supuestos!$C$115*Supuestos!$C$118*(1+Supuestos!$C$32)^7*Estacionalidad!C$7*AY$18</f>
        <v>5134180854.68141</v>
      </c>
      <c r="AZ10" s="57" t="n">
        <f aca="false">Supuestos!$C$115*Supuestos!$C$118*(1+Supuestos!$C$32)^7*Estacionalidad!D$7*AZ$18</f>
        <v>5010465653.36378</v>
      </c>
      <c r="BA10" s="57" t="n">
        <f aca="false">Supuestos!$C$115*Supuestos!$C$118*(1+Supuestos!$C$32)^7*Estacionalidad!E$7*BA$18</f>
        <v>5257896055.99903</v>
      </c>
      <c r="BB10" s="57" t="n">
        <f aca="false">Supuestos!$C$115*Supuestos!$C$118*(1+Supuestos!$C$32)^7*Estacionalidad!F$7*BB$18</f>
        <v>5196038455.34022</v>
      </c>
      <c r="BC10" s="57" t="n">
        <f aca="false">Supuestos!$C$115*Supuestos!$C$118*(1+Supuestos!$C$32)^7*Estacionalidad!G$7*BC$18</f>
        <v>5134180854.68141</v>
      </c>
      <c r="BD10" s="57" t="n">
        <f aca="false">Supuestos!$C$115*Supuestos!$C$118*(1+Supuestos!$C$32)^7*Estacionalidad!H$7*BD$18</f>
        <v>5196038455.34022</v>
      </c>
      <c r="BE10" s="57" t="n">
        <f aca="false">Supuestos!$C$115*Supuestos!$C$118*(1+Supuestos!$C$32)^7*Estacionalidad!I$7*BE$18</f>
        <v>5257896055.99903</v>
      </c>
      <c r="BF10" s="57" t="n">
        <f aca="false">Supuestos!$C$115*Supuestos!$C$118*(1+Supuestos!$C$32)^7*Estacionalidad!J$7*BF$18</f>
        <v>5196038455.34022</v>
      </c>
      <c r="BG10" s="57" t="n">
        <f aca="false">Supuestos!$C$115*Supuestos!$C$118*(1+Supuestos!$C$32)^7*Estacionalidad!K$7*BG$18</f>
        <v>5134180854.68141</v>
      </c>
      <c r="BH10" s="57" t="n">
        <f aca="false">Supuestos!$C$115*Supuestos!$C$118*(1+Supuestos!$C$32)^7*Estacionalidad!L$7*BH$18</f>
        <v>5196038455.34022</v>
      </c>
      <c r="BI10" s="57" t="n">
        <f aca="false">Supuestos!$C$115*Supuestos!$C$118*(1+Supuestos!$C$32)^7*Estacionalidad!M$7*BI$18</f>
        <v>5134180854.68141</v>
      </c>
      <c r="BJ10" s="57" t="n">
        <f aca="false">Supuestos!$C$115*Supuestos!$C$118*(1+Supuestos!$C$32)^7*Estacionalidad!N$7*BJ$18</f>
        <v>5010465653.36378</v>
      </c>
      <c r="BK10" s="57" t="n">
        <f aca="false">Supuestos!$C$115*Supuestos!$C$118*(1+Supuestos!$C$32)^8*Estacionalidad!C$7*BK$18</f>
        <v>5021434243.1126</v>
      </c>
      <c r="BL10" s="57" t="n">
        <f aca="false">Supuestos!$C$115*Supuestos!$C$118*(1+Supuestos!$C$32)^8*Estacionalidad!D$7*BL$18</f>
        <v>4900435827.61591</v>
      </c>
      <c r="BM10" s="57" t="n">
        <f aca="false">Supuestos!$C$115*Supuestos!$C$118*(1+Supuestos!$C$32)^8*Estacionalidad!E$7*BM$18</f>
        <v>5142432658.60929</v>
      </c>
      <c r="BN10" s="57" t="n">
        <f aca="false">Supuestos!$C$115*Supuestos!$C$118*(1+Supuestos!$C$32)^8*Estacionalidad!F$7*BN$18</f>
        <v>5081933450.86095</v>
      </c>
      <c r="BO10" s="57" t="n">
        <f aca="false">Supuestos!$C$115*Supuestos!$C$118*(1+Supuestos!$C$32)^8*Estacionalidad!G$7*BO$18</f>
        <v>5021434243.1126</v>
      </c>
      <c r="BP10" s="57" t="n">
        <f aca="false">Supuestos!$C$115*Supuestos!$C$118*(1+Supuestos!$C$32)^8*Estacionalidad!H$7*BP$18</f>
        <v>5081933450.86095</v>
      </c>
      <c r="BQ10" s="57" t="n">
        <f aca="false">Supuestos!$C$115*Supuestos!$C$118*(1+Supuestos!$C$32)^8*Estacionalidad!I$7*BQ$18</f>
        <v>5142432658.60929</v>
      </c>
      <c r="BR10" s="57" t="n">
        <f aca="false">Supuestos!$C$115*Supuestos!$C$118*(1+Supuestos!$C$32)^8*Estacionalidad!J$7*BR$18</f>
        <v>5081933450.86095</v>
      </c>
      <c r="BS10" s="57" t="n">
        <f aca="false">Supuestos!$C$115*Supuestos!$C$118*(1+Supuestos!$C$32)^8*Estacionalidad!K$7*BS$18</f>
        <v>5021434243.1126</v>
      </c>
      <c r="BT10" s="57" t="n">
        <f aca="false">Supuestos!$C$115*Supuestos!$C$118*(1+Supuestos!$C$32)^8*Estacionalidad!L$7*BT$18</f>
        <v>5081933450.86095</v>
      </c>
      <c r="BU10" s="57" t="n">
        <f aca="false">Supuestos!$C$115*Supuestos!$C$118*(1+Supuestos!$C$32)^8*Estacionalidad!M$7*BU$18</f>
        <v>5021434243.1126</v>
      </c>
      <c r="BV10" s="57" t="n">
        <f aca="false">Supuestos!$C$115*Supuestos!$C$118*(1+Supuestos!$C$32)^8*Estacionalidad!N$7*BV$18</f>
        <v>4900435827.61591</v>
      </c>
      <c r="BW10" s="57" t="n">
        <f aca="false">Supuestos!$C$115*Supuestos!$C$118*(1+Supuestos!$C$32)^9*Estacionalidad!C$7*BW$18</f>
        <v>4911163547.13385</v>
      </c>
      <c r="BX10" s="57" t="n">
        <f aca="false">Supuestos!$C$115*Supuestos!$C$118*(1+Supuestos!$C$32)^9*Estacionalidad!D$7*BX$18</f>
        <v>4792822256.84147</v>
      </c>
      <c r="BY10" s="57" t="n">
        <f aca="false">Supuestos!$C$115*Supuestos!$C$118*(1+Supuestos!$C$32)^9*Estacionalidad!E$7*BY$18</f>
        <v>5029504837.42623</v>
      </c>
      <c r="BZ10" s="57" t="n">
        <f aca="false">Supuestos!$C$115*Supuestos!$C$118*(1+Supuestos!$C$32)^9*Estacionalidad!F$7*BZ$18</f>
        <v>4970334192.28004</v>
      </c>
      <c r="CA10" s="57" t="n">
        <f aca="false">Supuestos!$C$115*Supuestos!$C$118*(1+Supuestos!$C$32)^9*Estacionalidad!G$7*CA$18</f>
        <v>4911163547.13385</v>
      </c>
      <c r="CB10" s="57" t="n">
        <f aca="false">Supuestos!$C$115*Supuestos!$C$118*(1+Supuestos!$C$32)^9*Estacionalidad!H$7*CB$18</f>
        <v>4970334192.28004</v>
      </c>
      <c r="CC10" s="57" t="n">
        <f aca="false">Supuestos!$C$115*Supuestos!$C$118*(1+Supuestos!$C$32)^9*Estacionalidad!I$7*CC$18</f>
        <v>5029504837.42623</v>
      </c>
      <c r="CD10" s="57" t="n">
        <f aca="false">Supuestos!$C$115*Supuestos!$C$118*(1+Supuestos!$C$32)^9*Estacionalidad!J$7*CD$18</f>
        <v>4970334192.28004</v>
      </c>
      <c r="CE10" s="57" t="n">
        <f aca="false">Supuestos!$C$115*Supuestos!$C$118*(1+Supuestos!$C$32)^9*Estacionalidad!K$7*CE$18</f>
        <v>4911163547.13385</v>
      </c>
      <c r="CF10" s="57" t="n">
        <f aca="false">Supuestos!$C$115*Supuestos!$C$118*(1+Supuestos!$C$32)^9*Estacionalidad!L$7*CF$18</f>
        <v>4970334192.28004</v>
      </c>
      <c r="CG10" s="57" t="n">
        <f aca="false">Supuestos!$C$115*Supuestos!$C$118*(1+Supuestos!$C$32)^9*Estacionalidad!M$7*CG$18</f>
        <v>4911163547.13385</v>
      </c>
      <c r="CH10" s="57" t="n">
        <f aca="false">Supuestos!$C$115*Supuestos!$C$118*(1+Supuestos!$C$32)^9*Estacionalidad!N$7*CH$18</f>
        <v>4792822256.84147</v>
      </c>
      <c r="CI10" s="57" t="n">
        <f aca="false">Supuestos!$C$115*Supuestos!$C$118*(1+Supuestos!$C$32)^10*Estacionalidad!C$7*CI$18</f>
        <v>4803314395.63879</v>
      </c>
      <c r="CJ10" s="57" t="n">
        <f aca="false">Supuestos!$C$115*Supuestos!$C$118*(1+Supuestos!$C$32)^10*Estacionalidad!D$7*CJ$18</f>
        <v>4687571880.08123</v>
      </c>
      <c r="CK10" s="57" t="n">
        <f aca="false">Supuestos!$C$115*Supuestos!$C$118*(1+Supuestos!$C$32)^10*Estacionalidad!E$7*CK$18</f>
        <v>4919056911.19635</v>
      </c>
      <c r="CL10" s="57" t="n">
        <f aca="false">Supuestos!$C$115*Supuestos!$C$118*(1+Supuestos!$C$32)^10*Estacionalidad!F$7*CL$18</f>
        <v>4861185653.41757</v>
      </c>
      <c r="CM10" s="57" t="n">
        <f aca="false">Supuestos!$C$115*Supuestos!$C$118*(1+Supuestos!$C$32)^10*Estacionalidad!G$7*CM$18</f>
        <v>4803314395.63879</v>
      </c>
      <c r="CN10" s="57" t="n">
        <f aca="false">Supuestos!$C$115*Supuestos!$C$118*(1+Supuestos!$C$32)^10*Estacionalidad!H$7*CN$18</f>
        <v>4861185653.41757</v>
      </c>
      <c r="CO10" s="57" t="n">
        <f aca="false">Supuestos!$C$115*Supuestos!$C$118*(1+Supuestos!$C$32)^10*Estacionalidad!I$7*CO$18</f>
        <v>4919056911.19635</v>
      </c>
      <c r="CP10" s="57" t="n">
        <f aca="false">Supuestos!$C$115*Supuestos!$C$118*(1+Supuestos!$C$32)^10*Estacionalidad!J$7*CP$18</f>
        <v>4861185653.41757</v>
      </c>
      <c r="CQ10" s="57" t="n">
        <f aca="false">Supuestos!$C$115*Supuestos!$C$118*(1+Supuestos!$C$32)^10*Estacionalidad!K$7*CQ$18</f>
        <v>4803314395.63879</v>
      </c>
      <c r="CR10" s="57" t="n">
        <f aca="false">Supuestos!$C$115*Supuestos!$C$118*(1+Supuestos!$C$32)^10*Estacionalidad!L$7*CR$18</f>
        <v>4861185653.41757</v>
      </c>
      <c r="CS10" s="57" t="n">
        <f aca="false">Supuestos!$C$115*Supuestos!$C$118*(1+Supuestos!$C$32)^10*Estacionalidad!M$7*CS$18</f>
        <v>4803314395.63879</v>
      </c>
      <c r="CT10" s="57" t="n">
        <f aca="false">Supuestos!$C$115*Supuestos!$C$118*(1+Supuestos!$C$32)^10*Estacionalidad!N$7*CT$18</f>
        <v>4687571880.08123</v>
      </c>
    </row>
    <row r="11" customFormat="false" ht="15" hidden="false" customHeight="true" outlineLevel="0" collapsed="false">
      <c r="A11" s="2"/>
      <c r="B11" s="19" t="s">
        <v>555</v>
      </c>
      <c r="C11" s="57" t="n">
        <f aca="false">Supuestos!$C$115*(1-Supuestos!$C$118)*Estacionalidad!C$7*C$18</f>
        <v>1281032948.78961</v>
      </c>
      <c r="D11" s="57" t="n">
        <f aca="false">Supuestos!$C$115*(1-Supuestos!$C$118)*Estacionalidad!D$7*D$18</f>
        <v>1250164684.96336</v>
      </c>
      <c r="E11" s="57" t="n">
        <f aca="false">Supuestos!$C$115*(1-Supuestos!$C$118)*Estacionalidad!E$7*E$18</f>
        <v>1311901212.61587</v>
      </c>
      <c r="F11" s="57" t="n">
        <f aca="false">Supuestos!$C$115*(1-Supuestos!$C$118)*Estacionalidad!F$7*F$18</f>
        <v>1296467080.70274</v>
      </c>
      <c r="G11" s="57" t="n">
        <f aca="false">Supuestos!$C$115*(1-Supuestos!$C$118)*Estacionalidad!G$7*G$18</f>
        <v>1281032948.78961</v>
      </c>
      <c r="H11" s="57" t="n">
        <f aca="false">Supuestos!$C$115*(1-Supuestos!$C$118)*Estacionalidad!H$7*H$18</f>
        <v>1296467080.70274</v>
      </c>
      <c r="I11" s="57" t="n">
        <f aca="false">Supuestos!$C$115*(1-Supuestos!$C$118)*Estacionalidad!I$7*I$18</f>
        <v>1311901212.61587</v>
      </c>
      <c r="J11" s="57" t="n">
        <f aca="false">Supuestos!$C$115*(1-Supuestos!$C$118)*Estacionalidad!J$7*J$18</f>
        <v>1296467080.70274</v>
      </c>
      <c r="K11" s="57" t="n">
        <f aca="false">Supuestos!$C$115*(1-Supuestos!$C$118)*Estacionalidad!K$7*K$18</f>
        <v>1281032948.78961</v>
      </c>
      <c r="L11" s="57" t="n">
        <f aca="false">Supuestos!$C$115*(1-Supuestos!$C$118)*Estacionalidad!L$7*L$18</f>
        <v>1296467080.70274</v>
      </c>
      <c r="M11" s="57" t="n">
        <f aca="false">Supuestos!$C$115*(1-Supuestos!$C$118)*Estacionalidad!M$7*M$18</f>
        <v>1281032948.78961</v>
      </c>
      <c r="N11" s="57" t="n">
        <f aca="false">Supuestos!$C$115*(1-Supuestos!$C$118)*Estacionalidad!N$7*N$18</f>
        <v>1250164684.96336</v>
      </c>
      <c r="O11" s="57" t="n">
        <f aca="false">Supuestos!$C$115*(1-Supuestos!$C$118)*Estacionalidad!C$7*O$18</f>
        <v>1281032948.78961</v>
      </c>
      <c r="P11" s="57" t="n">
        <f aca="false">Supuestos!$C$115*(1-Supuestos!$C$118)*Estacionalidad!D$7*P$18</f>
        <v>1250164684.96336</v>
      </c>
      <c r="Q11" s="57" t="n">
        <f aca="false">Supuestos!$C$115*(1-Supuestos!$C$118)*Estacionalidad!E$7*Q$18</f>
        <v>1311901212.61587</v>
      </c>
      <c r="R11" s="57" t="n">
        <f aca="false">Supuestos!$C$115*(1-Supuestos!$C$118)*Estacionalidad!F$7*R$18</f>
        <v>1296467080.70274</v>
      </c>
      <c r="S11" s="57" t="n">
        <f aca="false">Supuestos!$C$115*(1-Supuestos!$C$118)*Estacionalidad!G$7*S$18</f>
        <v>1281032948.78961</v>
      </c>
      <c r="T11" s="57" t="n">
        <f aca="false">Supuestos!$C$115*(1-Supuestos!$C$118)*Estacionalidad!H$7*T$18</f>
        <v>1296467080.70274</v>
      </c>
      <c r="U11" s="57" t="n">
        <f aca="false">Supuestos!$C$115*(1-Supuestos!$C$118)*Estacionalidad!I$7*U$18</f>
        <v>1311901212.61587</v>
      </c>
      <c r="V11" s="57" t="n">
        <f aca="false">Supuestos!$C$115*(1-Supuestos!$C$118)*Estacionalidad!J$7*V$18</f>
        <v>1296467080.70274</v>
      </c>
      <c r="W11" s="57" t="n">
        <f aca="false">Supuestos!$C$115*(1-Supuestos!$C$118)*Estacionalidad!K$7*W$18</f>
        <v>1281032948.78961</v>
      </c>
      <c r="X11" s="57" t="n">
        <f aca="false">Supuestos!$C$115*(1-Supuestos!$C$118)*Estacionalidad!L$7*X$18</f>
        <v>1296467080.70274</v>
      </c>
      <c r="Y11" s="57" t="n">
        <f aca="false">Supuestos!$C$115*(1-Supuestos!$C$118)*Estacionalidad!M$7*Y$18</f>
        <v>1281032948.78961</v>
      </c>
      <c r="Z11" s="57" t="n">
        <f aca="false">Supuestos!$C$115*(1-Supuestos!$C$118)*Estacionalidad!N$7*Z$18</f>
        <v>1250164684.96336</v>
      </c>
      <c r="AA11" s="57" t="n">
        <f aca="false">Supuestos!$C$115*(1-Supuestos!$C$118)*Estacionalidad!C$7*AA$18</f>
        <v>1281032948.78961</v>
      </c>
      <c r="AB11" s="57" t="n">
        <f aca="false">Supuestos!$C$115*(1-Supuestos!$C$118)*Estacionalidad!D$7*AB$18</f>
        <v>1250164684.96336</v>
      </c>
      <c r="AC11" s="57" t="n">
        <f aca="false">Supuestos!$C$115*(1-Supuestos!$C$118)*Estacionalidad!E$7*AC$18</f>
        <v>1311901212.61587</v>
      </c>
      <c r="AD11" s="57" t="n">
        <f aca="false">Supuestos!$C$115*(1-Supuestos!$C$118)*Estacionalidad!F$7*AD$18</f>
        <v>1296467080.70274</v>
      </c>
      <c r="AE11" s="57" t="n">
        <f aca="false">Supuestos!$C$115*(1-Supuestos!$C$118)*Estacionalidad!G$7*AE$18</f>
        <v>1281032948.78961</v>
      </c>
      <c r="AF11" s="57" t="n">
        <f aca="false">Supuestos!$C$115*(1-Supuestos!$C$118)*Estacionalidad!H$7*AF$18</f>
        <v>1296467080.70274</v>
      </c>
      <c r="AG11" s="57" t="n">
        <f aca="false">Supuestos!$C$115*(1-Supuestos!$C$118)*Estacionalidad!I$7*AG$18</f>
        <v>1311901212.61587</v>
      </c>
      <c r="AH11" s="57" t="n">
        <f aca="false">Supuestos!$C$115*(1-Supuestos!$C$118)*Estacionalidad!J$7*AH$18</f>
        <v>1296467080.70274</v>
      </c>
      <c r="AI11" s="57" t="n">
        <f aca="false">Supuestos!$C$115*(1-Supuestos!$C$118)*Estacionalidad!K$7*AI$18</f>
        <v>1281032948.78961</v>
      </c>
      <c r="AJ11" s="57" t="n">
        <f aca="false">Supuestos!$C$115*(1-Supuestos!$C$118)*Estacionalidad!L$7*AJ$18</f>
        <v>1296467080.70274</v>
      </c>
      <c r="AK11" s="57" t="n">
        <f aca="false">Supuestos!$C$115*(1-Supuestos!$C$118)*Estacionalidad!M$7*AK$18</f>
        <v>1281032948.78961</v>
      </c>
      <c r="AL11" s="57" t="n">
        <f aca="false">Supuestos!$C$115*(1-Supuestos!$C$118)*Estacionalidad!N$7*AL$18</f>
        <v>1250164684.96336</v>
      </c>
      <c r="AM11" s="57" t="n">
        <f aca="false">Supuestos!$C$115*(1-Supuestos!$C$118)*Estacionalidad!C$7*AM$18</f>
        <v>1281032948.78961</v>
      </c>
      <c r="AN11" s="57" t="n">
        <f aca="false">Supuestos!$C$115*(1-Supuestos!$C$118)*Estacionalidad!D$7*AN$18</f>
        <v>1250164684.96336</v>
      </c>
      <c r="AO11" s="57" t="n">
        <f aca="false">Supuestos!$C$115*(1-Supuestos!$C$118)*Estacionalidad!E$7*AO$18</f>
        <v>1311901212.61587</v>
      </c>
      <c r="AP11" s="57" t="n">
        <f aca="false">Supuestos!$C$115*(1-Supuestos!$C$118)*Estacionalidad!F$7*AP$18</f>
        <v>1296467080.70274</v>
      </c>
      <c r="AQ11" s="57" t="n">
        <f aca="false">Supuestos!$C$115*(1-Supuestos!$C$118)*Estacionalidad!G$7*AQ$18</f>
        <v>1281032948.78961</v>
      </c>
      <c r="AR11" s="57" t="n">
        <f aca="false">Supuestos!$C$115*(1-Supuestos!$C$118)*Estacionalidad!H$7*AR$18</f>
        <v>1296467080.70274</v>
      </c>
      <c r="AS11" s="57" t="n">
        <f aca="false">Supuestos!$C$115*(1-Supuestos!$C$118)*Estacionalidad!I$7*AS$18</f>
        <v>1311901212.61587</v>
      </c>
      <c r="AT11" s="57" t="n">
        <f aca="false">Supuestos!$C$115*(1-Supuestos!$C$118)*Estacionalidad!J$7*AT$18</f>
        <v>1296467080.70274</v>
      </c>
      <c r="AU11" s="57" t="n">
        <f aca="false">Supuestos!$C$115*(1-Supuestos!$C$118)*Estacionalidad!K$7*AU$18</f>
        <v>1281032948.78961</v>
      </c>
      <c r="AV11" s="57" t="n">
        <f aca="false">Supuestos!$C$115*(1-Supuestos!$C$118)*Estacionalidad!L$7*AV$18</f>
        <v>1296467080.70274</v>
      </c>
      <c r="AW11" s="57" t="n">
        <f aca="false">Supuestos!$C$115*(1-Supuestos!$C$118)*Estacionalidad!M$7*AW$18</f>
        <v>1281032948.78961</v>
      </c>
      <c r="AX11" s="57" t="n">
        <f aca="false">Supuestos!$C$115*(1-Supuestos!$C$118)*Estacionalidad!N$7*AX$18</f>
        <v>1250164684.96336</v>
      </c>
      <c r="AY11" s="57" t="n">
        <f aca="false">Supuestos!$C$115*(1-Supuestos!$C$118)*Estacionalidad!C$7*AY$18</f>
        <v>1281032948.78961</v>
      </c>
      <c r="AZ11" s="57" t="n">
        <f aca="false">Supuestos!$C$115*(1-Supuestos!$C$118)*Estacionalidad!D$7*AZ$18</f>
        <v>1250164684.96336</v>
      </c>
      <c r="BA11" s="57" t="n">
        <f aca="false">Supuestos!$C$115*(1-Supuestos!$C$118)*Estacionalidad!E$7*BA$18</f>
        <v>1311901212.61587</v>
      </c>
      <c r="BB11" s="57" t="n">
        <f aca="false">Supuestos!$C$115*(1-Supuestos!$C$118)*Estacionalidad!F$7*BB$18</f>
        <v>1296467080.70274</v>
      </c>
      <c r="BC11" s="57" t="n">
        <f aca="false">Supuestos!$C$115*(1-Supuestos!$C$118)*Estacionalidad!G$7*BC$18</f>
        <v>1281032948.78961</v>
      </c>
      <c r="BD11" s="57" t="n">
        <f aca="false">Supuestos!$C$115*(1-Supuestos!$C$118)*Estacionalidad!H$7*BD$18</f>
        <v>1296467080.70274</v>
      </c>
      <c r="BE11" s="57" t="n">
        <f aca="false">Supuestos!$C$115*(1-Supuestos!$C$118)*Estacionalidad!I$7*BE$18</f>
        <v>1311901212.61587</v>
      </c>
      <c r="BF11" s="57" t="n">
        <f aca="false">Supuestos!$C$115*(1-Supuestos!$C$118)*Estacionalidad!J$7*BF$18</f>
        <v>1296467080.70274</v>
      </c>
      <c r="BG11" s="57" t="n">
        <f aca="false">Supuestos!$C$115*(1-Supuestos!$C$118)*Estacionalidad!K$7*BG$18</f>
        <v>1281032948.78961</v>
      </c>
      <c r="BH11" s="57" t="n">
        <f aca="false">Supuestos!$C$115*(1-Supuestos!$C$118)*Estacionalidad!L$7*BH$18</f>
        <v>1296467080.70274</v>
      </c>
      <c r="BI11" s="57" t="n">
        <f aca="false">Supuestos!$C$115*(1-Supuestos!$C$118)*Estacionalidad!M$7*BI$18</f>
        <v>1281032948.78961</v>
      </c>
      <c r="BJ11" s="57" t="n">
        <f aca="false">Supuestos!$C$115*(1-Supuestos!$C$118)*Estacionalidad!N$7*BJ$18</f>
        <v>1250164684.96336</v>
      </c>
      <c r="BK11" s="57" t="n">
        <f aca="false">Supuestos!$C$115*(1-Supuestos!$C$118)*Estacionalidad!C$7*BK$18</f>
        <v>1281032948.78961</v>
      </c>
      <c r="BL11" s="57" t="n">
        <f aca="false">Supuestos!$C$115*(1-Supuestos!$C$118)*Estacionalidad!D$7*BL$18</f>
        <v>1250164684.96336</v>
      </c>
      <c r="BM11" s="57" t="n">
        <f aca="false">Supuestos!$C$115*(1-Supuestos!$C$118)*Estacionalidad!E$7*BM$18</f>
        <v>1311901212.61587</v>
      </c>
      <c r="BN11" s="57" t="n">
        <f aca="false">Supuestos!$C$115*(1-Supuestos!$C$118)*Estacionalidad!F$7*BN$18</f>
        <v>1296467080.70274</v>
      </c>
      <c r="BO11" s="57" t="n">
        <f aca="false">Supuestos!$C$115*(1-Supuestos!$C$118)*Estacionalidad!G$7*BO$18</f>
        <v>1281032948.78961</v>
      </c>
      <c r="BP11" s="57" t="n">
        <f aca="false">Supuestos!$C$115*(1-Supuestos!$C$118)*Estacionalidad!H$7*BP$18</f>
        <v>1296467080.70274</v>
      </c>
      <c r="BQ11" s="57" t="n">
        <f aca="false">Supuestos!$C$115*(1-Supuestos!$C$118)*Estacionalidad!I$7*BQ$18</f>
        <v>1311901212.61587</v>
      </c>
      <c r="BR11" s="57" t="n">
        <f aca="false">Supuestos!$C$115*(1-Supuestos!$C$118)*Estacionalidad!J$7*BR$18</f>
        <v>1296467080.70274</v>
      </c>
      <c r="BS11" s="57" t="n">
        <f aca="false">Supuestos!$C$115*(1-Supuestos!$C$118)*Estacionalidad!K$7*BS$18</f>
        <v>1281032948.78961</v>
      </c>
      <c r="BT11" s="57" t="n">
        <f aca="false">Supuestos!$C$115*(1-Supuestos!$C$118)*Estacionalidad!L$7*BT$18</f>
        <v>1296467080.70274</v>
      </c>
      <c r="BU11" s="57" t="n">
        <f aca="false">Supuestos!$C$115*(1-Supuestos!$C$118)*Estacionalidad!M$7*BU$18</f>
        <v>1281032948.78961</v>
      </c>
      <c r="BV11" s="57" t="n">
        <f aca="false">Supuestos!$C$115*(1-Supuestos!$C$118)*Estacionalidad!N$7*BV$18</f>
        <v>1250164684.96336</v>
      </c>
      <c r="BW11" s="57" t="n">
        <f aca="false">Supuestos!$C$115*(1-Supuestos!$C$118)*Estacionalidad!C$7*BW$18</f>
        <v>1281032948.78961</v>
      </c>
      <c r="BX11" s="57" t="n">
        <f aca="false">Supuestos!$C$115*(1-Supuestos!$C$118)*Estacionalidad!D$7*BX$18</f>
        <v>1250164684.96336</v>
      </c>
      <c r="BY11" s="57" t="n">
        <f aca="false">Supuestos!$C$115*(1-Supuestos!$C$118)*Estacionalidad!E$7*BY$18</f>
        <v>1311901212.61587</v>
      </c>
      <c r="BZ11" s="57" t="n">
        <f aca="false">Supuestos!$C$115*(1-Supuestos!$C$118)*Estacionalidad!F$7*BZ$18</f>
        <v>1296467080.70274</v>
      </c>
      <c r="CA11" s="57" t="n">
        <f aca="false">Supuestos!$C$115*(1-Supuestos!$C$118)*Estacionalidad!G$7*CA$18</f>
        <v>1281032948.78961</v>
      </c>
      <c r="CB11" s="57" t="n">
        <f aca="false">Supuestos!$C$115*(1-Supuestos!$C$118)*Estacionalidad!H$7*CB$18</f>
        <v>1296467080.70274</v>
      </c>
      <c r="CC11" s="57" t="n">
        <f aca="false">Supuestos!$C$115*(1-Supuestos!$C$118)*Estacionalidad!I$7*CC$18</f>
        <v>1311901212.61587</v>
      </c>
      <c r="CD11" s="57" t="n">
        <f aca="false">Supuestos!$C$115*(1-Supuestos!$C$118)*Estacionalidad!J$7*CD$18</f>
        <v>1296467080.70274</v>
      </c>
      <c r="CE11" s="57" t="n">
        <f aca="false">Supuestos!$C$115*(1-Supuestos!$C$118)*Estacionalidad!K$7*CE$18</f>
        <v>1281032948.78961</v>
      </c>
      <c r="CF11" s="57" t="n">
        <f aca="false">Supuestos!$C$115*(1-Supuestos!$C$118)*Estacionalidad!L$7*CF$18</f>
        <v>1296467080.70274</v>
      </c>
      <c r="CG11" s="57" t="n">
        <f aca="false">Supuestos!$C$115*(1-Supuestos!$C$118)*Estacionalidad!M$7*CG$18</f>
        <v>1281032948.78961</v>
      </c>
      <c r="CH11" s="57" t="n">
        <f aca="false">Supuestos!$C$115*(1-Supuestos!$C$118)*Estacionalidad!N$7*CH$18</f>
        <v>1250164684.96336</v>
      </c>
      <c r="CI11" s="57" t="n">
        <f aca="false">Supuestos!$C$115*(1-Supuestos!$C$118)*Estacionalidad!C$7*CI$18</f>
        <v>1281032948.78961</v>
      </c>
      <c r="CJ11" s="57" t="n">
        <f aca="false">Supuestos!$C$115*(1-Supuestos!$C$118)*Estacionalidad!D$7*CJ$18</f>
        <v>1250164684.96336</v>
      </c>
      <c r="CK11" s="57" t="n">
        <f aca="false">Supuestos!$C$115*(1-Supuestos!$C$118)*Estacionalidad!E$7*CK$18</f>
        <v>1311901212.61587</v>
      </c>
      <c r="CL11" s="57" t="n">
        <f aca="false">Supuestos!$C$115*(1-Supuestos!$C$118)*Estacionalidad!F$7*CL$18</f>
        <v>1296467080.70274</v>
      </c>
      <c r="CM11" s="57" t="n">
        <f aca="false">Supuestos!$C$115*(1-Supuestos!$C$118)*Estacionalidad!G$7*CM$18</f>
        <v>1281032948.78961</v>
      </c>
      <c r="CN11" s="57" t="n">
        <f aca="false">Supuestos!$C$115*(1-Supuestos!$C$118)*Estacionalidad!H$7*CN$18</f>
        <v>1296467080.70274</v>
      </c>
      <c r="CO11" s="57" t="n">
        <f aca="false">Supuestos!$C$115*(1-Supuestos!$C$118)*Estacionalidad!I$7*CO$18</f>
        <v>1311901212.61587</v>
      </c>
      <c r="CP11" s="57" t="n">
        <f aca="false">Supuestos!$C$115*(1-Supuestos!$C$118)*Estacionalidad!J$7*CP$18</f>
        <v>1296467080.70274</v>
      </c>
      <c r="CQ11" s="57" t="n">
        <f aca="false">Supuestos!$C$115*(1-Supuestos!$C$118)*Estacionalidad!K$7*CQ$18</f>
        <v>1281032948.78961</v>
      </c>
      <c r="CR11" s="57" t="n">
        <f aca="false">Supuestos!$C$115*(1-Supuestos!$C$118)*Estacionalidad!L$7*CR$18</f>
        <v>1296467080.70274</v>
      </c>
      <c r="CS11" s="57" t="n">
        <f aca="false">Supuestos!$C$115*(1-Supuestos!$C$118)*Estacionalidad!M$7*CS$18</f>
        <v>1281032948.78961</v>
      </c>
      <c r="CT11" s="57" t="n">
        <f aca="false">Supuestos!$C$115*(1-Supuestos!$C$118)*Estacionalidad!N$7*CT$18</f>
        <v>1250164684.96336</v>
      </c>
    </row>
    <row r="12" customFormat="false" ht="15" hidden="false" customHeight="true" outlineLevel="0" collapsed="false">
      <c r="A12" s="2"/>
      <c r="B12" s="19" t="s">
        <v>556</v>
      </c>
      <c r="C12" s="57" t="n">
        <f aca="false">(Supuestos!$C$116+Supuestos!$C$117)*Estacionalidad!C$8*C$18</f>
        <v>626812408.9675</v>
      </c>
      <c r="D12" s="57" t="n">
        <f aca="false">(Supuestos!$C$116+Supuestos!$C$117)*Estacionalidad!D$8*D$18</f>
        <v>626812408.9675</v>
      </c>
      <c r="E12" s="57" t="n">
        <f aca="false">(Supuestos!$C$116+Supuestos!$C$117)*Estacionalidad!E$8*E$18</f>
        <v>626812408.9675</v>
      </c>
      <c r="F12" s="57" t="n">
        <f aca="false">(Supuestos!$C$116+Supuestos!$C$117)*Estacionalidad!F$8*F$18</f>
        <v>626812408.9675</v>
      </c>
      <c r="G12" s="57" t="n">
        <f aca="false">(Supuestos!$C$116+Supuestos!$C$117)*Estacionalidad!G$8*G$18</f>
        <v>626812408.9675</v>
      </c>
      <c r="H12" s="57" t="n">
        <f aca="false">(Supuestos!$C$116+Supuestos!$C$117)*Estacionalidad!H$8*H$18</f>
        <v>626812408.9675</v>
      </c>
      <c r="I12" s="57" t="n">
        <f aca="false">(Supuestos!$C$116+Supuestos!$C$117)*Estacionalidad!I$8*I$18</f>
        <v>626812408.9675</v>
      </c>
      <c r="J12" s="57" t="n">
        <f aca="false">(Supuestos!$C$116+Supuestos!$C$117)*Estacionalidad!J$8*J$18</f>
        <v>626812408.9675</v>
      </c>
      <c r="K12" s="57" t="n">
        <f aca="false">(Supuestos!$C$116+Supuestos!$C$117)*Estacionalidad!K$8*K$18</f>
        <v>626812408.9675</v>
      </c>
      <c r="L12" s="57" t="n">
        <f aca="false">(Supuestos!$C$116+Supuestos!$C$117)*Estacionalidad!L$8*L$18</f>
        <v>626812408.9675</v>
      </c>
      <c r="M12" s="57" t="n">
        <f aca="false">(Supuestos!$C$116+Supuestos!$C$117)*Estacionalidad!M$8*M$18</f>
        <v>626812408.9675</v>
      </c>
      <c r="N12" s="57" t="n">
        <f aca="false">(Supuestos!$C$116+Supuestos!$C$117)*Estacionalidad!N$8*N$18</f>
        <v>626812408.9675</v>
      </c>
      <c r="O12" s="57" t="n">
        <f aca="false">(Supuestos!$C$116+Supuestos!$C$117)*Estacionalidad!C$8*O$18</f>
        <v>626812408.9675</v>
      </c>
      <c r="P12" s="57" t="n">
        <f aca="false">(Supuestos!$C$116+Supuestos!$C$117)*Estacionalidad!D$8*P$18</f>
        <v>626812408.9675</v>
      </c>
      <c r="Q12" s="57" t="n">
        <f aca="false">(Supuestos!$C$116+Supuestos!$C$117)*Estacionalidad!E$8*Q$18</f>
        <v>626812408.9675</v>
      </c>
      <c r="R12" s="57" t="n">
        <f aca="false">(Supuestos!$C$116+Supuestos!$C$117)*Estacionalidad!F$8*R$18</f>
        <v>626812408.9675</v>
      </c>
      <c r="S12" s="57" t="n">
        <f aca="false">(Supuestos!$C$116+Supuestos!$C$117)*Estacionalidad!G$8*S$18</f>
        <v>626812408.9675</v>
      </c>
      <c r="T12" s="57" t="n">
        <f aca="false">(Supuestos!$C$116+Supuestos!$C$117)*Estacionalidad!H$8*T$18</f>
        <v>626812408.9675</v>
      </c>
      <c r="U12" s="57" t="n">
        <f aca="false">(Supuestos!$C$116+Supuestos!$C$117)*Estacionalidad!I$8*U$18</f>
        <v>626812408.9675</v>
      </c>
      <c r="V12" s="57" t="n">
        <f aca="false">(Supuestos!$C$116+Supuestos!$C$117)*Estacionalidad!J$8*V$18</f>
        <v>626812408.9675</v>
      </c>
      <c r="W12" s="57" t="n">
        <f aca="false">(Supuestos!$C$116+Supuestos!$C$117)*Estacionalidad!K$8*W$18</f>
        <v>626812408.9675</v>
      </c>
      <c r="X12" s="57" t="n">
        <f aca="false">(Supuestos!$C$116+Supuestos!$C$117)*Estacionalidad!L$8*X$18</f>
        <v>626812408.9675</v>
      </c>
      <c r="Y12" s="57" t="n">
        <f aca="false">(Supuestos!$C$116+Supuestos!$C$117)*Estacionalidad!M$8*Y$18</f>
        <v>626812408.9675</v>
      </c>
      <c r="Z12" s="57" t="n">
        <f aca="false">(Supuestos!$C$116+Supuestos!$C$117)*Estacionalidad!N$8*Z$18</f>
        <v>626812408.9675</v>
      </c>
      <c r="AA12" s="57" t="n">
        <f aca="false">(Supuestos!$C$116+Supuestos!$C$117)*Estacionalidad!C$8*AA$18</f>
        <v>626812408.9675</v>
      </c>
      <c r="AB12" s="57" t="n">
        <f aca="false">(Supuestos!$C$116+Supuestos!$C$117)*Estacionalidad!D$8*AB$18</f>
        <v>626812408.9675</v>
      </c>
      <c r="AC12" s="57" t="n">
        <f aca="false">(Supuestos!$C$116+Supuestos!$C$117)*Estacionalidad!E$8*AC$18</f>
        <v>626812408.9675</v>
      </c>
      <c r="AD12" s="57" t="n">
        <f aca="false">(Supuestos!$C$116+Supuestos!$C$117)*Estacionalidad!F$8*AD$18</f>
        <v>626812408.9675</v>
      </c>
      <c r="AE12" s="57" t="n">
        <f aca="false">(Supuestos!$C$116+Supuestos!$C$117)*Estacionalidad!G$8*AE$18</f>
        <v>626812408.9675</v>
      </c>
      <c r="AF12" s="57" t="n">
        <f aca="false">(Supuestos!$C$116+Supuestos!$C$117)*Estacionalidad!H$8*AF$18</f>
        <v>626812408.9675</v>
      </c>
      <c r="AG12" s="57" t="n">
        <f aca="false">(Supuestos!$C$116+Supuestos!$C$117)*Estacionalidad!I$8*AG$18</f>
        <v>626812408.9675</v>
      </c>
      <c r="AH12" s="57" t="n">
        <f aca="false">(Supuestos!$C$116+Supuestos!$C$117)*Estacionalidad!J$8*AH$18</f>
        <v>626812408.9675</v>
      </c>
      <c r="AI12" s="57" t="n">
        <f aca="false">(Supuestos!$C$116+Supuestos!$C$117)*Estacionalidad!K$8*AI$18</f>
        <v>626812408.9675</v>
      </c>
      <c r="AJ12" s="57" t="n">
        <f aca="false">(Supuestos!$C$116+Supuestos!$C$117)*Estacionalidad!L$8*AJ$18</f>
        <v>626812408.9675</v>
      </c>
      <c r="AK12" s="57" t="n">
        <f aca="false">(Supuestos!$C$116+Supuestos!$C$117)*Estacionalidad!M$8*AK$18</f>
        <v>626812408.9675</v>
      </c>
      <c r="AL12" s="57" t="n">
        <f aca="false">(Supuestos!$C$116+Supuestos!$C$117)*Estacionalidad!N$8*AL$18</f>
        <v>626812408.9675</v>
      </c>
      <c r="AM12" s="57" t="n">
        <f aca="false">(Supuestos!$C$116+Supuestos!$C$117)*Estacionalidad!C$8*AM$18</f>
        <v>626812408.9675</v>
      </c>
      <c r="AN12" s="57" t="n">
        <f aca="false">(Supuestos!$C$116+Supuestos!$C$117)*Estacionalidad!D$8*AN$18</f>
        <v>626812408.9675</v>
      </c>
      <c r="AO12" s="57" t="n">
        <f aca="false">(Supuestos!$C$116+Supuestos!$C$117)*Estacionalidad!E$8*AO$18</f>
        <v>626812408.9675</v>
      </c>
      <c r="AP12" s="57" t="n">
        <f aca="false">(Supuestos!$C$116+Supuestos!$C$117)*Estacionalidad!F$8*AP$18</f>
        <v>626812408.9675</v>
      </c>
      <c r="AQ12" s="57" t="n">
        <f aca="false">(Supuestos!$C$116+Supuestos!$C$117)*Estacionalidad!G$8*AQ$18</f>
        <v>626812408.9675</v>
      </c>
      <c r="AR12" s="57" t="n">
        <f aca="false">(Supuestos!$C$116+Supuestos!$C$117)*Estacionalidad!H$8*AR$18</f>
        <v>626812408.9675</v>
      </c>
      <c r="AS12" s="57" t="n">
        <f aca="false">(Supuestos!$C$116+Supuestos!$C$117)*Estacionalidad!I$8*AS$18</f>
        <v>626812408.9675</v>
      </c>
      <c r="AT12" s="57" t="n">
        <f aca="false">(Supuestos!$C$116+Supuestos!$C$117)*Estacionalidad!J$8*AT$18</f>
        <v>626812408.9675</v>
      </c>
      <c r="AU12" s="57" t="n">
        <f aca="false">(Supuestos!$C$116+Supuestos!$C$117)*Estacionalidad!K$8*AU$18</f>
        <v>626812408.9675</v>
      </c>
      <c r="AV12" s="57" t="n">
        <f aca="false">(Supuestos!$C$116+Supuestos!$C$117)*Estacionalidad!L$8*AV$18</f>
        <v>626812408.9675</v>
      </c>
      <c r="AW12" s="57" t="n">
        <f aca="false">(Supuestos!$C$116+Supuestos!$C$117)*Estacionalidad!M$8*AW$18</f>
        <v>626812408.9675</v>
      </c>
      <c r="AX12" s="57" t="n">
        <f aca="false">(Supuestos!$C$116+Supuestos!$C$117)*Estacionalidad!N$8*AX$18</f>
        <v>626812408.9675</v>
      </c>
      <c r="AY12" s="57" t="n">
        <f aca="false">(Supuestos!$C$116+Supuestos!$C$117)*Estacionalidad!C$8*AY$18</f>
        <v>626812408.9675</v>
      </c>
      <c r="AZ12" s="57" t="n">
        <f aca="false">(Supuestos!$C$116+Supuestos!$C$117)*Estacionalidad!D$8*AZ$18</f>
        <v>626812408.9675</v>
      </c>
      <c r="BA12" s="57" t="n">
        <f aca="false">(Supuestos!$C$116+Supuestos!$C$117)*Estacionalidad!E$8*BA$18</f>
        <v>626812408.9675</v>
      </c>
      <c r="BB12" s="57" t="n">
        <f aca="false">(Supuestos!$C$116+Supuestos!$C$117)*Estacionalidad!F$8*BB$18</f>
        <v>626812408.9675</v>
      </c>
      <c r="BC12" s="57" t="n">
        <f aca="false">(Supuestos!$C$116+Supuestos!$C$117)*Estacionalidad!G$8*BC$18</f>
        <v>626812408.9675</v>
      </c>
      <c r="BD12" s="57" t="n">
        <f aca="false">(Supuestos!$C$116+Supuestos!$C$117)*Estacionalidad!H$8*BD$18</f>
        <v>626812408.9675</v>
      </c>
      <c r="BE12" s="57" t="n">
        <f aca="false">(Supuestos!$C$116+Supuestos!$C$117)*Estacionalidad!I$8*BE$18</f>
        <v>626812408.9675</v>
      </c>
      <c r="BF12" s="57" t="n">
        <f aca="false">(Supuestos!$C$116+Supuestos!$C$117)*Estacionalidad!J$8*BF$18</f>
        <v>626812408.9675</v>
      </c>
      <c r="BG12" s="57" t="n">
        <f aca="false">(Supuestos!$C$116+Supuestos!$C$117)*Estacionalidad!K$8*BG$18</f>
        <v>626812408.9675</v>
      </c>
      <c r="BH12" s="57" t="n">
        <f aca="false">(Supuestos!$C$116+Supuestos!$C$117)*Estacionalidad!L$8*BH$18</f>
        <v>626812408.9675</v>
      </c>
      <c r="BI12" s="57" t="n">
        <f aca="false">(Supuestos!$C$116+Supuestos!$C$117)*Estacionalidad!M$8*BI$18</f>
        <v>626812408.9675</v>
      </c>
      <c r="BJ12" s="57" t="n">
        <f aca="false">(Supuestos!$C$116+Supuestos!$C$117)*Estacionalidad!N$8*BJ$18</f>
        <v>626812408.9675</v>
      </c>
      <c r="BK12" s="57" t="n">
        <f aca="false">(Supuestos!$C$116+Supuestos!$C$117)*Estacionalidad!C$8*BK$18</f>
        <v>626812408.9675</v>
      </c>
      <c r="BL12" s="57" t="n">
        <f aca="false">(Supuestos!$C$116+Supuestos!$C$117)*Estacionalidad!D$8*BL$18</f>
        <v>626812408.9675</v>
      </c>
      <c r="BM12" s="57" t="n">
        <f aca="false">(Supuestos!$C$116+Supuestos!$C$117)*Estacionalidad!E$8*BM$18</f>
        <v>626812408.9675</v>
      </c>
      <c r="BN12" s="57" t="n">
        <f aca="false">(Supuestos!$C$116+Supuestos!$C$117)*Estacionalidad!F$8*BN$18</f>
        <v>626812408.9675</v>
      </c>
      <c r="BO12" s="57" t="n">
        <f aca="false">(Supuestos!$C$116+Supuestos!$C$117)*Estacionalidad!G$8*BO$18</f>
        <v>626812408.9675</v>
      </c>
      <c r="BP12" s="57" t="n">
        <f aca="false">(Supuestos!$C$116+Supuestos!$C$117)*Estacionalidad!H$8*BP$18</f>
        <v>626812408.9675</v>
      </c>
      <c r="BQ12" s="57" t="n">
        <f aca="false">(Supuestos!$C$116+Supuestos!$C$117)*Estacionalidad!I$8*BQ$18</f>
        <v>626812408.9675</v>
      </c>
      <c r="BR12" s="57" t="n">
        <f aca="false">(Supuestos!$C$116+Supuestos!$C$117)*Estacionalidad!J$8*BR$18</f>
        <v>626812408.9675</v>
      </c>
      <c r="BS12" s="57" t="n">
        <f aca="false">(Supuestos!$C$116+Supuestos!$C$117)*Estacionalidad!K$8*BS$18</f>
        <v>626812408.9675</v>
      </c>
      <c r="BT12" s="57" t="n">
        <f aca="false">(Supuestos!$C$116+Supuestos!$C$117)*Estacionalidad!L$8*BT$18</f>
        <v>626812408.9675</v>
      </c>
      <c r="BU12" s="57" t="n">
        <f aca="false">(Supuestos!$C$116+Supuestos!$C$117)*Estacionalidad!M$8*BU$18</f>
        <v>626812408.9675</v>
      </c>
      <c r="BV12" s="57" t="n">
        <f aca="false">(Supuestos!$C$116+Supuestos!$C$117)*Estacionalidad!N$8*BV$18</f>
        <v>626812408.9675</v>
      </c>
      <c r="BW12" s="57" t="n">
        <f aca="false">(Supuestos!$C$116+Supuestos!$C$117)*Estacionalidad!C$8*BW$18</f>
        <v>626812408.9675</v>
      </c>
      <c r="BX12" s="57" t="n">
        <f aca="false">(Supuestos!$C$116+Supuestos!$C$117)*Estacionalidad!D$8*BX$18</f>
        <v>626812408.9675</v>
      </c>
      <c r="BY12" s="57" t="n">
        <f aca="false">(Supuestos!$C$116+Supuestos!$C$117)*Estacionalidad!E$8*BY$18</f>
        <v>626812408.9675</v>
      </c>
      <c r="BZ12" s="57" t="n">
        <f aca="false">(Supuestos!$C$116+Supuestos!$C$117)*Estacionalidad!F$8*BZ$18</f>
        <v>626812408.9675</v>
      </c>
      <c r="CA12" s="57" t="n">
        <f aca="false">(Supuestos!$C$116+Supuestos!$C$117)*Estacionalidad!G$8*CA$18</f>
        <v>626812408.9675</v>
      </c>
      <c r="CB12" s="57" t="n">
        <f aca="false">(Supuestos!$C$116+Supuestos!$C$117)*Estacionalidad!H$8*CB$18</f>
        <v>626812408.9675</v>
      </c>
      <c r="CC12" s="57" t="n">
        <f aca="false">(Supuestos!$C$116+Supuestos!$C$117)*Estacionalidad!I$8*CC$18</f>
        <v>626812408.9675</v>
      </c>
      <c r="CD12" s="57" t="n">
        <f aca="false">(Supuestos!$C$116+Supuestos!$C$117)*Estacionalidad!J$8*CD$18</f>
        <v>626812408.9675</v>
      </c>
      <c r="CE12" s="57" t="n">
        <f aca="false">(Supuestos!$C$116+Supuestos!$C$117)*Estacionalidad!K$8*CE$18</f>
        <v>626812408.9675</v>
      </c>
      <c r="CF12" s="57" t="n">
        <f aca="false">(Supuestos!$C$116+Supuestos!$C$117)*Estacionalidad!L$8*CF$18</f>
        <v>626812408.9675</v>
      </c>
      <c r="CG12" s="57" t="n">
        <f aca="false">(Supuestos!$C$116+Supuestos!$C$117)*Estacionalidad!M$8*CG$18</f>
        <v>626812408.9675</v>
      </c>
      <c r="CH12" s="57" t="n">
        <f aca="false">(Supuestos!$C$116+Supuestos!$C$117)*Estacionalidad!N$8*CH$18</f>
        <v>626812408.9675</v>
      </c>
      <c r="CI12" s="57" t="n">
        <f aca="false">(Supuestos!$C$116+Supuestos!$C$117)*Estacionalidad!C$8*CI$18</f>
        <v>626812408.9675</v>
      </c>
      <c r="CJ12" s="57" t="n">
        <f aca="false">(Supuestos!$C$116+Supuestos!$C$117)*Estacionalidad!D$8*CJ$18</f>
        <v>626812408.9675</v>
      </c>
      <c r="CK12" s="57" t="n">
        <f aca="false">(Supuestos!$C$116+Supuestos!$C$117)*Estacionalidad!E$8*CK$18</f>
        <v>626812408.9675</v>
      </c>
      <c r="CL12" s="57" t="n">
        <f aca="false">(Supuestos!$C$116+Supuestos!$C$117)*Estacionalidad!F$8*CL$18</f>
        <v>626812408.9675</v>
      </c>
      <c r="CM12" s="57" t="n">
        <f aca="false">(Supuestos!$C$116+Supuestos!$C$117)*Estacionalidad!G$8*CM$18</f>
        <v>626812408.9675</v>
      </c>
      <c r="CN12" s="57" t="n">
        <f aca="false">(Supuestos!$C$116+Supuestos!$C$117)*Estacionalidad!H$8*CN$18</f>
        <v>626812408.9675</v>
      </c>
      <c r="CO12" s="57" t="n">
        <f aca="false">(Supuestos!$C$116+Supuestos!$C$117)*Estacionalidad!I$8*CO$18</f>
        <v>626812408.9675</v>
      </c>
      <c r="CP12" s="57" t="n">
        <f aca="false">(Supuestos!$C$116+Supuestos!$C$117)*Estacionalidad!J$8*CP$18</f>
        <v>626812408.9675</v>
      </c>
      <c r="CQ12" s="57" t="n">
        <f aca="false">(Supuestos!$C$116+Supuestos!$C$117)*Estacionalidad!K$8*CQ$18</f>
        <v>626812408.9675</v>
      </c>
      <c r="CR12" s="57" t="n">
        <f aca="false">(Supuestos!$C$116+Supuestos!$C$117)*Estacionalidad!L$8*CR$18</f>
        <v>626812408.9675</v>
      </c>
      <c r="CS12" s="57" t="n">
        <f aca="false">(Supuestos!$C$116+Supuestos!$C$117)*Estacionalidad!M$8*CS$18</f>
        <v>626812408.9675</v>
      </c>
      <c r="CT12" s="57" t="n">
        <f aca="false">(Supuestos!$C$116+Supuestos!$C$117)*Estacionalidad!N$8*CT$18</f>
        <v>626812408.9675</v>
      </c>
    </row>
    <row r="13" customFormat="false" ht="15" hidden="false" customHeight="true" outlineLevel="0" collapsed="false">
      <c r="A13" s="2"/>
      <c r="B13" s="46" t="s">
        <v>557</v>
      </c>
      <c r="C13" s="58" t="n">
        <f aca="false">SUM(C8:C12)</f>
        <v>29065123252.3933</v>
      </c>
      <c r="D13" s="58" t="n">
        <f aca="false">SUM(D8:D12)</f>
        <v>24941579681.7031</v>
      </c>
      <c r="E13" s="58" t="n">
        <f aca="false">SUM(E8:E12)</f>
        <v>26153166183.8123</v>
      </c>
      <c r="F13" s="58" t="n">
        <f aca="false">SUM(F8:F12)</f>
        <v>25630410163.3078</v>
      </c>
      <c r="G13" s="58" t="n">
        <f aca="false">SUM(G8:G12)</f>
        <v>25107654142.8032</v>
      </c>
      <c r="H13" s="58" t="n">
        <f aca="false">SUM(H8:H12)</f>
        <v>25630410163.3078</v>
      </c>
      <c r="I13" s="58" t="n">
        <f aca="false">SUM(I8:I12)</f>
        <v>26153166183.8123</v>
      </c>
      <c r="J13" s="58" t="n">
        <f aca="false">SUM(J8:J12)</f>
        <v>25630410163.3078</v>
      </c>
      <c r="K13" s="58" t="n">
        <f aca="false">SUM(K8:K12)</f>
        <v>25107654142.8032</v>
      </c>
      <c r="L13" s="58" t="n">
        <f aca="false">SUM(L8:L12)</f>
        <v>25630410163.3078</v>
      </c>
      <c r="M13" s="58" t="n">
        <f aca="false">SUM(M8:M12)</f>
        <v>25107654142.8032</v>
      </c>
      <c r="N13" s="58" t="n">
        <f aca="false">SUM(N8:N12)</f>
        <v>26260736051.5664</v>
      </c>
      <c r="O13" s="58" t="n">
        <f aca="false">SUM(O8:O12)</f>
        <v>29673932223.1729</v>
      </c>
      <c r="P13" s="58" t="n">
        <f aca="false">SUM(P8:P12)</f>
        <v>25418903697.3212</v>
      </c>
      <c r="Q13" s="58" t="n">
        <f aca="false">SUM(Q8:Q12)</f>
        <v>26654430628.4136</v>
      </c>
      <c r="R13" s="58" t="n">
        <f aca="false">SUM(R8:R12)</f>
        <v>26118219829.3714</v>
      </c>
      <c r="S13" s="58" t="n">
        <f aca="false">SUM(S8:S12)</f>
        <v>25582009030.3292</v>
      </c>
      <c r="T13" s="58" t="n">
        <f aca="false">SUM(T8:T12)</f>
        <v>26118219829.3714</v>
      </c>
      <c r="U13" s="58" t="n">
        <f aca="false">SUM(U8:U12)</f>
        <v>26654430628.4136</v>
      </c>
      <c r="V13" s="58" t="n">
        <f aca="false">SUM(V8:V12)</f>
        <v>26118219829.3714</v>
      </c>
      <c r="W13" s="58" t="n">
        <f aca="false">SUM(W8:W12)</f>
        <v>25582009030.3292</v>
      </c>
      <c r="X13" s="58" t="n">
        <f aca="false">SUM(X8:X12)</f>
        <v>26118219829.3714</v>
      </c>
      <c r="Y13" s="58" t="n">
        <f aca="false">SUM(Y8:Y12)</f>
        <v>25582009030.3292</v>
      </c>
      <c r="Z13" s="58" t="n">
        <f aca="false">SUM(Z8:Z12)</f>
        <v>26782878094.9357</v>
      </c>
      <c r="AA13" s="58" t="n">
        <f aca="false">SUM(AA8:AA12)</f>
        <v>30084942979.4833</v>
      </c>
      <c r="AB13" s="58" t="n">
        <f aca="false">SUM(AB8:AB12)</f>
        <v>25735191580.029</v>
      </c>
      <c r="AC13" s="58" t="n">
        <f aca="false">SUM(AC8:AC12)</f>
        <v>26986605503.4079</v>
      </c>
      <c r="AD13" s="58" t="n">
        <f aca="false">SUM(AD8:AD12)</f>
        <v>26440999245.2029</v>
      </c>
      <c r="AE13" s="58" t="n">
        <f aca="false">SUM(AE8:AE12)</f>
        <v>25895392986.9979</v>
      </c>
      <c r="AF13" s="58" t="n">
        <f aca="false">SUM(AF8:AF12)</f>
        <v>26440999245.2029</v>
      </c>
      <c r="AG13" s="58" t="n">
        <f aca="false">SUM(AG8:AG12)</f>
        <v>26986605503.4079</v>
      </c>
      <c r="AH13" s="58" t="n">
        <f aca="false">SUM(AH8:AH12)</f>
        <v>26440999245.2029</v>
      </c>
      <c r="AI13" s="58" t="n">
        <f aca="false">SUM(AI8:AI12)</f>
        <v>25895392986.9979</v>
      </c>
      <c r="AJ13" s="58" t="n">
        <f aca="false">SUM(AJ8:AJ12)</f>
        <v>26440999245.2029</v>
      </c>
      <c r="AK13" s="58" t="n">
        <f aca="false">SUM(AK8:AK12)</f>
        <v>25895392986.9979</v>
      </c>
      <c r="AL13" s="58" t="n">
        <f aca="false">SUM(AL8:AL12)</f>
        <v>27131708244.1909</v>
      </c>
      <c r="AM13" s="58" t="n">
        <f aca="false">SUM(AM8:AM12)</f>
        <v>30405127704.3595</v>
      </c>
      <c r="AN13" s="58" t="n">
        <f aca="false">SUM(AN8:AN12)</f>
        <v>25977758078.6076</v>
      </c>
      <c r="AO13" s="58" t="n">
        <f aca="false">SUM(AO8:AO12)</f>
        <v>27241371330.811</v>
      </c>
      <c r="AP13" s="58" t="n">
        <f aca="false">SUM(AP8:AP12)</f>
        <v>26688245330.282</v>
      </c>
      <c r="AQ13" s="58" t="n">
        <f aca="false">SUM(AQ8:AQ12)</f>
        <v>26135119329.753</v>
      </c>
      <c r="AR13" s="58" t="n">
        <f aca="false">SUM(AR8:AR12)</f>
        <v>26688245330.282</v>
      </c>
      <c r="AS13" s="58" t="n">
        <f aca="false">SUM(AS8:AS12)</f>
        <v>27241371330.811</v>
      </c>
      <c r="AT13" s="58" t="n">
        <f aca="false">SUM(AT8:AT12)</f>
        <v>26688245330.282</v>
      </c>
      <c r="AU13" s="58" t="n">
        <f aca="false">SUM(AU8:AU12)</f>
        <v>26135119329.753</v>
      </c>
      <c r="AV13" s="58" t="n">
        <f aca="false">SUM(AV8:AV12)</f>
        <v>26688245330.282</v>
      </c>
      <c r="AW13" s="58" t="n">
        <f aca="false">SUM(AW8:AW12)</f>
        <v>26135119329.753</v>
      </c>
      <c r="AX13" s="58" t="n">
        <f aca="false">SUM(AX8:AX12)</f>
        <v>27401094203.4764</v>
      </c>
      <c r="AY13" s="58" t="n">
        <f aca="false">SUM(AY8:AY12)</f>
        <v>30731748195.2769</v>
      </c>
      <c r="AZ13" s="58" t="n">
        <f aca="false">SUM(AZ8:AZ12)</f>
        <v>26225991304.7137</v>
      </c>
      <c r="BA13" s="58" t="n">
        <f aca="false">SUM(BA8:BA12)</f>
        <v>27502085662.8724</v>
      </c>
      <c r="BB13" s="58" t="n">
        <f aca="false">SUM(BB8:BB12)</f>
        <v>26941330216.365</v>
      </c>
      <c r="BC13" s="58" t="n">
        <f aca="false">SUM(BC8:BC12)</f>
        <v>26380574769.8576</v>
      </c>
      <c r="BD13" s="58" t="n">
        <f aca="false">SUM(BD8:BD12)</f>
        <v>26941330216.365</v>
      </c>
      <c r="BE13" s="58" t="n">
        <f aca="false">SUM(BE8:BE12)</f>
        <v>27502085662.8724</v>
      </c>
      <c r="BF13" s="58" t="n">
        <f aca="false">SUM(BF8:BF12)</f>
        <v>26941330216.365</v>
      </c>
      <c r="BG13" s="58" t="n">
        <f aca="false">SUM(BG8:BG12)</f>
        <v>26380574769.8576</v>
      </c>
      <c r="BH13" s="58" t="n">
        <f aca="false">SUM(BH8:BH12)</f>
        <v>26941330216.365</v>
      </c>
      <c r="BI13" s="58" t="n">
        <f aca="false">SUM(BI8:BI12)</f>
        <v>26380574769.8576</v>
      </c>
      <c r="BJ13" s="58" t="n">
        <f aca="false">SUM(BJ8:BJ12)</f>
        <v>27676382446.5202</v>
      </c>
      <c r="BK13" s="58" t="n">
        <f aca="false">SUM(BK8:BK12)</f>
        <v>31069517216.5836</v>
      </c>
      <c r="BL13" s="58" t="n">
        <f aca="false">SUM(BL8:BL12)</f>
        <v>26483729342.5377</v>
      </c>
      <c r="BM13" s="58" t="n">
        <f aca="false">SUM(BM8:BM12)</f>
        <v>27772778522.2331</v>
      </c>
      <c r="BN13" s="58" t="n">
        <f aca="false">SUM(BN8:BN12)</f>
        <v>27204187272.0468</v>
      </c>
      <c r="BO13" s="58" t="n">
        <f aca="false">SUM(BO8:BO12)</f>
        <v>26635596021.8606</v>
      </c>
      <c r="BP13" s="58" t="n">
        <f aca="false">SUM(BP8:BP12)</f>
        <v>27204187272.0468</v>
      </c>
      <c r="BQ13" s="58" t="n">
        <f aca="false">SUM(BQ8:BQ12)</f>
        <v>27772778522.2331</v>
      </c>
      <c r="BR13" s="58" t="n">
        <f aca="false">SUM(BR8:BR12)</f>
        <v>27204187272.0468</v>
      </c>
      <c r="BS13" s="58" t="n">
        <f aca="false">SUM(BS8:BS12)</f>
        <v>26635596021.8606</v>
      </c>
      <c r="BT13" s="58" t="n">
        <f aca="false">SUM(BT8:BT12)</f>
        <v>27204187272.0468</v>
      </c>
      <c r="BU13" s="58" t="n">
        <f aca="false">SUM(BU8:BU12)</f>
        <v>26635596021.8606</v>
      </c>
      <c r="BV13" s="58" t="n">
        <f aca="false">SUM(BV8:BV12)</f>
        <v>27961703074.112</v>
      </c>
      <c r="BW13" s="58" t="n">
        <f aca="false">SUM(BW8:BW12)</f>
        <v>31418547208.3213</v>
      </c>
      <c r="BX13" s="58" t="n">
        <f aca="false">SUM(BX8:BX12)</f>
        <v>26751055108.6747</v>
      </c>
      <c r="BY13" s="58" t="n">
        <f aca="false">SUM(BY8:BY12)</f>
        <v>28053537004.8071</v>
      </c>
      <c r="BZ13" s="58" t="n">
        <f aca="false">SUM(BZ8:BZ12)</f>
        <v>27476900833.8002</v>
      </c>
      <c r="CA13" s="58" t="n">
        <f aca="false">SUM(CA8:CA12)</f>
        <v>26900264662.7933</v>
      </c>
      <c r="CB13" s="58" t="n">
        <f aca="false">SUM(CB8:CB12)</f>
        <v>27476900833.8002</v>
      </c>
      <c r="CC13" s="58" t="n">
        <f aca="false">SUM(CC8:CC12)</f>
        <v>28053537004.8071</v>
      </c>
      <c r="CD13" s="58" t="n">
        <f aca="false">SUM(CD8:CD12)</f>
        <v>27476900833.8002</v>
      </c>
      <c r="CE13" s="58" t="n">
        <f aca="false">SUM(CE8:CE12)</f>
        <v>26900264662.7933</v>
      </c>
      <c r="CF13" s="58" t="n">
        <f aca="false">SUM(CF8:CF12)</f>
        <v>27476900833.8002</v>
      </c>
      <c r="CG13" s="58" t="n">
        <f aca="false">SUM(CG8:CG12)</f>
        <v>26900264662.7933</v>
      </c>
      <c r="CH13" s="58" t="n">
        <f aca="false">SUM(CH8:CH12)</f>
        <v>28257149290.5173</v>
      </c>
      <c r="CI13" s="58" t="n">
        <f aca="false">SUM(CI8:CI12)</f>
        <v>31778955107.9533</v>
      </c>
      <c r="CJ13" s="58" t="n">
        <f aca="false">SUM(CJ8:CJ12)</f>
        <v>27028055385.8956</v>
      </c>
      <c r="CK13" s="58" t="n">
        <f aca="false">SUM(CK8:CK12)</f>
        <v>28344452265.2574</v>
      </c>
      <c r="CL13" s="58" t="n">
        <f aca="false">SUM(CL8:CL12)</f>
        <v>27759559215.2684</v>
      </c>
      <c r="CM13" s="58" t="n">
        <f aca="false">SUM(CM8:CM12)</f>
        <v>27174666165.2795</v>
      </c>
      <c r="CN13" s="58" t="n">
        <f aca="false">SUM(CN8:CN12)</f>
        <v>27759559215.2684</v>
      </c>
      <c r="CO13" s="58" t="n">
        <f aca="false">SUM(CO8:CO12)</f>
        <v>28344452265.2574</v>
      </c>
      <c r="CP13" s="58" t="n">
        <f aca="false">SUM(CP8:CP12)</f>
        <v>27759559215.2684</v>
      </c>
      <c r="CQ13" s="58" t="n">
        <f aca="false">SUM(CQ8:CQ12)</f>
        <v>27174666165.2795</v>
      </c>
      <c r="CR13" s="58" t="n">
        <f aca="false">SUM(CR8:CR12)</f>
        <v>27759559215.2684</v>
      </c>
      <c r="CS13" s="58" t="n">
        <f aca="false">SUM(CS8:CS12)</f>
        <v>27174666165.2795</v>
      </c>
      <c r="CT13" s="58" t="n">
        <f aca="false">SUM(CT8:CT12)</f>
        <v>28562818366.7869</v>
      </c>
    </row>
    <row r="14" customFormat="false" ht="15" hidden="false" customHeight="false" outlineLevel="0" collapsed="false">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row>
    <row r="15" customFormat="false" ht="15" hidden="false" customHeight="true" outlineLevel="0" collapsed="false">
      <c r="A15" s="2"/>
      <c r="B15" s="56" t="s">
        <v>558</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row>
    <row r="16" customFormat="false" ht="15" hidden="false" customHeight="true" outlineLevel="0" collapsed="false">
      <c r="A16" s="2"/>
      <c r="B16" s="19" t="s">
        <v>525</v>
      </c>
      <c r="C16" s="57" t="n">
        <f aca="false">Supuestos!$C$12*Estacionalidad!C$9</f>
        <v>101505039.861</v>
      </c>
      <c r="D16" s="57" t="n">
        <f aca="false">Supuestos!$C$12*Estacionalidad!D$9</f>
        <v>101505039.861</v>
      </c>
      <c r="E16" s="57" t="n">
        <f aca="false">Supuestos!$C$12*Estacionalidad!E$9</f>
        <v>162408063.7776</v>
      </c>
      <c r="F16" s="57" t="n">
        <f aca="false">Supuestos!$C$12*Estacionalidad!F$9</f>
        <v>162408063.7776</v>
      </c>
      <c r="G16" s="57" t="n">
        <f aca="false">Supuestos!$C$12*Estacionalidad!G$9</f>
        <v>182709071.7498</v>
      </c>
      <c r="H16" s="57" t="n">
        <f aca="false">Supuestos!$C$12*Estacionalidad!H$9</f>
        <v>203010079.722</v>
      </c>
      <c r="I16" s="57" t="n">
        <f aca="false">Supuestos!$C$12*Estacionalidad!I$9</f>
        <v>182709071.7498</v>
      </c>
      <c r="J16" s="57" t="n">
        <f aca="false">Supuestos!$C$12*Estacionalidad!J$9</f>
        <v>182709071.7498</v>
      </c>
      <c r="K16" s="57" t="n">
        <f aca="false">Supuestos!$C$12*Estacionalidad!K$9</f>
        <v>182709071.7498</v>
      </c>
      <c r="L16" s="57" t="n">
        <f aca="false">Supuestos!$C$12*Estacionalidad!L$9</f>
        <v>203010079.722</v>
      </c>
      <c r="M16" s="57" t="n">
        <f aca="false">Supuestos!$C$12*Estacionalidad!M$9</f>
        <v>203010079.722</v>
      </c>
      <c r="N16" s="57" t="n">
        <f aca="false">Supuestos!$C$12*Estacionalidad!N$9</f>
        <v>162408063.7776</v>
      </c>
      <c r="O16" s="57" t="n">
        <f aca="false">Supuestos!$C$12*Estacionalidad!C$9</f>
        <v>101505039.861</v>
      </c>
      <c r="P16" s="57" t="n">
        <f aca="false">Supuestos!$C$12*Estacionalidad!D$9</f>
        <v>101505039.861</v>
      </c>
      <c r="Q16" s="57" t="n">
        <f aca="false">Supuestos!$C$12*Estacionalidad!E$9</f>
        <v>162408063.7776</v>
      </c>
      <c r="R16" s="57" t="n">
        <f aca="false">Supuestos!$C$12*Estacionalidad!F$9</f>
        <v>162408063.7776</v>
      </c>
      <c r="S16" s="57" t="n">
        <f aca="false">Supuestos!$C$12*Estacionalidad!G$9</f>
        <v>182709071.7498</v>
      </c>
      <c r="T16" s="57" t="n">
        <f aca="false">Supuestos!$C$12*Estacionalidad!H$9</f>
        <v>203010079.722</v>
      </c>
      <c r="U16" s="57" t="n">
        <f aca="false">Supuestos!$C$12*Estacionalidad!I$9</f>
        <v>182709071.7498</v>
      </c>
      <c r="V16" s="57" t="n">
        <f aca="false">Supuestos!$C$12*Estacionalidad!J$9</f>
        <v>182709071.7498</v>
      </c>
      <c r="W16" s="57" t="n">
        <f aca="false">Supuestos!$C$12*Estacionalidad!K$9</f>
        <v>182709071.7498</v>
      </c>
      <c r="X16" s="57" t="n">
        <f aca="false">Supuestos!$C$12*Estacionalidad!L$9</f>
        <v>203010079.722</v>
      </c>
      <c r="Y16" s="57" t="n">
        <f aca="false">Supuestos!$C$12*Estacionalidad!M$9</f>
        <v>203010079.722</v>
      </c>
      <c r="Z16" s="57" t="n">
        <f aca="false">Supuestos!$C$12*Estacionalidad!N$9</f>
        <v>162408063.7776</v>
      </c>
      <c r="AA16" s="57" t="n">
        <f aca="false">Supuestos!$C$12*Estacionalidad!C$9</f>
        <v>101505039.861</v>
      </c>
      <c r="AB16" s="57" t="n">
        <f aca="false">Supuestos!$C$12*Estacionalidad!D$9</f>
        <v>101505039.861</v>
      </c>
      <c r="AC16" s="57" t="n">
        <f aca="false">Supuestos!$C$12*Estacionalidad!E$9</f>
        <v>162408063.7776</v>
      </c>
      <c r="AD16" s="57" t="n">
        <f aca="false">Supuestos!$C$12*Estacionalidad!F$9</f>
        <v>162408063.7776</v>
      </c>
      <c r="AE16" s="57" t="n">
        <f aca="false">Supuestos!$C$12*Estacionalidad!G$9</f>
        <v>182709071.7498</v>
      </c>
      <c r="AF16" s="57" t="n">
        <f aca="false">Supuestos!$C$12*Estacionalidad!H$9</f>
        <v>203010079.722</v>
      </c>
      <c r="AG16" s="57" t="n">
        <f aca="false">Supuestos!$C$12*Estacionalidad!I$9</f>
        <v>182709071.7498</v>
      </c>
      <c r="AH16" s="57" t="n">
        <f aca="false">Supuestos!$C$12*Estacionalidad!J$9</f>
        <v>182709071.7498</v>
      </c>
      <c r="AI16" s="57" t="n">
        <f aca="false">Supuestos!$C$12*Estacionalidad!K$9</f>
        <v>182709071.7498</v>
      </c>
      <c r="AJ16" s="57" t="n">
        <f aca="false">Supuestos!$C$12*Estacionalidad!L$9</f>
        <v>203010079.722</v>
      </c>
      <c r="AK16" s="57" t="n">
        <f aca="false">Supuestos!$C$12*Estacionalidad!M$9</f>
        <v>203010079.722</v>
      </c>
      <c r="AL16" s="57" t="n">
        <f aca="false">Supuestos!$C$12*Estacionalidad!N$9</f>
        <v>162408063.7776</v>
      </c>
      <c r="AM16" s="57" t="n">
        <f aca="false">Supuestos!$C$12*Estacionalidad!C$9</f>
        <v>101505039.861</v>
      </c>
      <c r="AN16" s="57" t="n">
        <f aca="false">Supuestos!$C$12*Estacionalidad!D$9</f>
        <v>101505039.861</v>
      </c>
      <c r="AO16" s="57" t="n">
        <f aca="false">Supuestos!$C$12*Estacionalidad!E$9</f>
        <v>162408063.7776</v>
      </c>
      <c r="AP16" s="57" t="n">
        <f aca="false">Supuestos!$C$12*Estacionalidad!F$9</f>
        <v>162408063.7776</v>
      </c>
      <c r="AQ16" s="57" t="n">
        <f aca="false">Supuestos!$C$12*Estacionalidad!G$9</f>
        <v>182709071.7498</v>
      </c>
      <c r="AR16" s="57" t="n">
        <f aca="false">Supuestos!$C$12*Estacionalidad!H$9</f>
        <v>203010079.722</v>
      </c>
      <c r="AS16" s="57" t="n">
        <f aca="false">Supuestos!$C$12*Estacionalidad!I$9</f>
        <v>182709071.7498</v>
      </c>
      <c r="AT16" s="57" t="n">
        <f aca="false">Supuestos!$C$12*Estacionalidad!J$9</f>
        <v>182709071.7498</v>
      </c>
      <c r="AU16" s="57" t="n">
        <f aca="false">Supuestos!$C$12*Estacionalidad!K$9</f>
        <v>182709071.7498</v>
      </c>
      <c r="AV16" s="57" t="n">
        <f aca="false">Supuestos!$C$12*Estacionalidad!L$9</f>
        <v>203010079.722</v>
      </c>
      <c r="AW16" s="57" t="n">
        <f aca="false">Supuestos!$C$12*Estacionalidad!M$9</f>
        <v>203010079.722</v>
      </c>
      <c r="AX16" s="57" t="n">
        <f aca="false">Supuestos!$C$12*Estacionalidad!N$9</f>
        <v>162408063.7776</v>
      </c>
      <c r="AY16" s="57" t="n">
        <f aca="false">Supuestos!$C$12*Estacionalidad!C$9</f>
        <v>101505039.861</v>
      </c>
      <c r="AZ16" s="57" t="n">
        <f aca="false">Supuestos!$C$12*Estacionalidad!D$9</f>
        <v>101505039.861</v>
      </c>
      <c r="BA16" s="57" t="n">
        <f aca="false">Supuestos!$C$12*Estacionalidad!E$9</f>
        <v>162408063.7776</v>
      </c>
      <c r="BB16" s="57" t="n">
        <f aca="false">Supuestos!$C$12*Estacionalidad!F$9</f>
        <v>162408063.7776</v>
      </c>
      <c r="BC16" s="57" t="n">
        <f aca="false">Supuestos!$C$12*Estacionalidad!G$9</f>
        <v>182709071.7498</v>
      </c>
      <c r="BD16" s="57" t="n">
        <f aca="false">Supuestos!$C$12*Estacionalidad!H$9</f>
        <v>203010079.722</v>
      </c>
      <c r="BE16" s="57" t="n">
        <f aca="false">Supuestos!$C$12*Estacionalidad!I$9</f>
        <v>182709071.7498</v>
      </c>
      <c r="BF16" s="57" t="n">
        <f aca="false">Supuestos!$C$12*Estacionalidad!J$9</f>
        <v>182709071.7498</v>
      </c>
      <c r="BG16" s="57" t="n">
        <f aca="false">Supuestos!$C$12*Estacionalidad!K$9</f>
        <v>182709071.7498</v>
      </c>
      <c r="BH16" s="57" t="n">
        <f aca="false">Supuestos!$C$12*Estacionalidad!L$9</f>
        <v>203010079.722</v>
      </c>
      <c r="BI16" s="57" t="n">
        <f aca="false">Supuestos!$C$12*Estacionalidad!M$9</f>
        <v>203010079.722</v>
      </c>
      <c r="BJ16" s="57" t="n">
        <f aca="false">Supuestos!$C$12*Estacionalidad!N$9</f>
        <v>162408063.7776</v>
      </c>
      <c r="BK16" s="57" t="n">
        <f aca="false">Supuestos!$C$12*Estacionalidad!C$9</f>
        <v>101505039.861</v>
      </c>
      <c r="BL16" s="57" t="n">
        <f aca="false">Supuestos!$C$12*Estacionalidad!D$9</f>
        <v>101505039.861</v>
      </c>
      <c r="BM16" s="57" t="n">
        <f aca="false">Supuestos!$C$12*Estacionalidad!E$9</f>
        <v>162408063.7776</v>
      </c>
      <c r="BN16" s="57" t="n">
        <f aca="false">Supuestos!$C$12*Estacionalidad!F$9</f>
        <v>162408063.7776</v>
      </c>
      <c r="BO16" s="57" t="n">
        <f aca="false">Supuestos!$C$12*Estacionalidad!G$9</f>
        <v>182709071.7498</v>
      </c>
      <c r="BP16" s="57" t="n">
        <f aca="false">Supuestos!$C$12*Estacionalidad!H$9</f>
        <v>203010079.722</v>
      </c>
      <c r="BQ16" s="57" t="n">
        <f aca="false">Supuestos!$C$12*Estacionalidad!I$9</f>
        <v>182709071.7498</v>
      </c>
      <c r="BR16" s="57" t="n">
        <f aca="false">Supuestos!$C$12*Estacionalidad!J$9</f>
        <v>182709071.7498</v>
      </c>
      <c r="BS16" s="57" t="n">
        <f aca="false">Supuestos!$C$12*Estacionalidad!K$9</f>
        <v>182709071.7498</v>
      </c>
      <c r="BT16" s="57" t="n">
        <f aca="false">Supuestos!$C$12*Estacionalidad!L$9</f>
        <v>203010079.722</v>
      </c>
      <c r="BU16" s="57" t="n">
        <f aca="false">Supuestos!$C$12*Estacionalidad!M$9</f>
        <v>203010079.722</v>
      </c>
      <c r="BV16" s="57" t="n">
        <f aca="false">Supuestos!$C$12*Estacionalidad!N$9</f>
        <v>162408063.7776</v>
      </c>
      <c r="BW16" s="57" t="n">
        <f aca="false">Supuestos!$C$12*Estacionalidad!C$9</f>
        <v>101505039.861</v>
      </c>
      <c r="BX16" s="57" t="n">
        <f aca="false">Supuestos!$C$12*Estacionalidad!D$9</f>
        <v>101505039.861</v>
      </c>
      <c r="BY16" s="57" t="n">
        <f aca="false">Supuestos!$C$12*Estacionalidad!E$9</f>
        <v>162408063.7776</v>
      </c>
      <c r="BZ16" s="57" t="n">
        <f aca="false">Supuestos!$C$12*Estacionalidad!F$9</f>
        <v>162408063.7776</v>
      </c>
      <c r="CA16" s="57" t="n">
        <f aca="false">Supuestos!$C$12*Estacionalidad!G$9</f>
        <v>182709071.7498</v>
      </c>
      <c r="CB16" s="57" t="n">
        <f aca="false">Supuestos!$C$12*Estacionalidad!H$9</f>
        <v>203010079.722</v>
      </c>
      <c r="CC16" s="57" t="n">
        <f aca="false">Supuestos!$C$12*Estacionalidad!I$9</f>
        <v>182709071.7498</v>
      </c>
      <c r="CD16" s="57" t="n">
        <f aca="false">Supuestos!$C$12*Estacionalidad!J$9</f>
        <v>182709071.7498</v>
      </c>
      <c r="CE16" s="57" t="n">
        <f aca="false">Supuestos!$C$12*Estacionalidad!K$9</f>
        <v>182709071.7498</v>
      </c>
      <c r="CF16" s="57" t="n">
        <f aca="false">Supuestos!$C$12*Estacionalidad!L$9</f>
        <v>203010079.722</v>
      </c>
      <c r="CG16" s="57" t="n">
        <f aca="false">Supuestos!$C$12*Estacionalidad!M$9</f>
        <v>203010079.722</v>
      </c>
      <c r="CH16" s="57" t="n">
        <f aca="false">Supuestos!$C$12*Estacionalidad!N$9</f>
        <v>162408063.7776</v>
      </c>
      <c r="CI16" s="57" t="n">
        <f aca="false">Supuestos!$C$12*Estacionalidad!C$9</f>
        <v>101505039.861</v>
      </c>
      <c r="CJ16" s="57" t="n">
        <f aca="false">Supuestos!$C$12*Estacionalidad!D$9</f>
        <v>101505039.861</v>
      </c>
      <c r="CK16" s="57" t="n">
        <f aca="false">Supuestos!$C$12*Estacionalidad!E$9</f>
        <v>162408063.7776</v>
      </c>
      <c r="CL16" s="57" t="n">
        <f aca="false">Supuestos!$C$12*Estacionalidad!F$9</f>
        <v>162408063.7776</v>
      </c>
      <c r="CM16" s="57" t="n">
        <f aca="false">Supuestos!$C$12*Estacionalidad!G$9</f>
        <v>182709071.7498</v>
      </c>
      <c r="CN16" s="57" t="n">
        <f aca="false">Supuestos!$C$12*Estacionalidad!H$9</f>
        <v>203010079.722</v>
      </c>
      <c r="CO16" s="57" t="n">
        <f aca="false">Supuestos!$C$12*Estacionalidad!I$9</f>
        <v>182709071.7498</v>
      </c>
      <c r="CP16" s="57" t="n">
        <f aca="false">Supuestos!$C$12*Estacionalidad!J$9</f>
        <v>182709071.7498</v>
      </c>
      <c r="CQ16" s="57" t="n">
        <f aca="false">Supuestos!$C$12*Estacionalidad!K$9</f>
        <v>182709071.7498</v>
      </c>
      <c r="CR16" s="57" t="n">
        <f aca="false">Supuestos!$C$12*Estacionalidad!L$9</f>
        <v>203010079.722</v>
      </c>
      <c r="CS16" s="57" t="n">
        <f aca="false">Supuestos!$C$12*Estacionalidad!M$9</f>
        <v>203010079.722</v>
      </c>
      <c r="CT16" s="57" t="n">
        <f aca="false">Supuestos!$C$12*Estacionalidad!N$9</f>
        <v>162408063.7776</v>
      </c>
    </row>
    <row r="17" customFormat="false" ht="15" hidden="false" customHeight="true" outlineLevel="0" collapsed="false">
      <c r="A17" s="2"/>
      <c r="B17" s="19" t="s">
        <v>559</v>
      </c>
      <c r="C17" s="26" t="n">
        <f aca="false">Supuestos!$C$33+(Supuestos!$C$34-Supuestos!$C$33)*MIN(3,4)/4</f>
        <v>0.8932</v>
      </c>
      <c r="D17" s="26" t="n">
        <f aca="false">Supuestos!$C$33+(Supuestos!$C$34-Supuestos!$C$33)*MIN(3,4)/4</f>
        <v>0.8932</v>
      </c>
      <c r="E17" s="26" t="n">
        <f aca="false">Supuestos!$C$33+(Supuestos!$C$34-Supuestos!$C$33)*MIN(3,4)/4</f>
        <v>0.8932</v>
      </c>
      <c r="F17" s="26" t="n">
        <f aca="false">Supuestos!$C$33+(Supuestos!$C$34-Supuestos!$C$33)*MIN(3,4)/4</f>
        <v>0.8932</v>
      </c>
      <c r="G17" s="26" t="n">
        <f aca="false">Supuestos!$C$33+(Supuestos!$C$34-Supuestos!$C$33)*MIN(3,4)/4</f>
        <v>0.8932</v>
      </c>
      <c r="H17" s="26" t="n">
        <f aca="false">Supuestos!$C$33+(Supuestos!$C$34-Supuestos!$C$33)*MIN(3,4)/4</f>
        <v>0.8932</v>
      </c>
      <c r="I17" s="26" t="n">
        <f aca="false">Supuestos!$C$33+(Supuestos!$C$34-Supuestos!$C$33)*MIN(3,4)/4</f>
        <v>0.8932</v>
      </c>
      <c r="J17" s="26" t="n">
        <f aca="false">Supuestos!$C$33+(Supuestos!$C$34-Supuestos!$C$33)*MIN(3,4)/4</f>
        <v>0.8932</v>
      </c>
      <c r="K17" s="26" t="n">
        <f aca="false">Supuestos!$C$33+(Supuestos!$C$34-Supuestos!$C$33)*MIN(3,4)/4</f>
        <v>0.8932</v>
      </c>
      <c r="L17" s="26" t="n">
        <f aca="false">Supuestos!$C$33+(Supuestos!$C$34-Supuestos!$C$33)*MIN(3,4)/4</f>
        <v>0.8932</v>
      </c>
      <c r="M17" s="26" t="n">
        <f aca="false">Supuestos!$C$33+(Supuestos!$C$34-Supuestos!$C$33)*MIN(3,4)/4</f>
        <v>0.8932</v>
      </c>
      <c r="N17" s="26" t="n">
        <f aca="false">Supuestos!$C$33+(Supuestos!$C$34-Supuestos!$C$33)*MIN(3,4)/4</f>
        <v>0.8932</v>
      </c>
      <c r="O17" s="26" t="n">
        <f aca="false">Supuestos!$C$33+(Supuestos!$C$34-Supuestos!$C$33)*MIN(4,4)/4</f>
        <v>0.8932</v>
      </c>
      <c r="P17" s="26" t="n">
        <f aca="false">Supuestos!$C$33+(Supuestos!$C$34-Supuestos!$C$33)*MIN(4,4)/4</f>
        <v>0.8932</v>
      </c>
      <c r="Q17" s="26" t="n">
        <f aca="false">Supuestos!$C$33+(Supuestos!$C$34-Supuestos!$C$33)*MIN(4,4)/4</f>
        <v>0.8932</v>
      </c>
      <c r="R17" s="26" t="n">
        <f aca="false">Supuestos!$C$33+(Supuestos!$C$34-Supuestos!$C$33)*MIN(4,4)/4</f>
        <v>0.8932</v>
      </c>
      <c r="S17" s="26" t="n">
        <f aca="false">Supuestos!$C$33+(Supuestos!$C$34-Supuestos!$C$33)*MIN(4,4)/4</f>
        <v>0.8932</v>
      </c>
      <c r="T17" s="26" t="n">
        <f aca="false">Supuestos!$C$33+(Supuestos!$C$34-Supuestos!$C$33)*MIN(4,4)/4</f>
        <v>0.8932</v>
      </c>
      <c r="U17" s="26" t="n">
        <f aca="false">Supuestos!$C$33+(Supuestos!$C$34-Supuestos!$C$33)*MIN(4,4)/4</f>
        <v>0.8932</v>
      </c>
      <c r="V17" s="26" t="n">
        <f aca="false">Supuestos!$C$33+(Supuestos!$C$34-Supuestos!$C$33)*MIN(4,4)/4</f>
        <v>0.8932</v>
      </c>
      <c r="W17" s="26" t="n">
        <f aca="false">Supuestos!$C$33+(Supuestos!$C$34-Supuestos!$C$33)*MIN(4,4)/4</f>
        <v>0.8932</v>
      </c>
      <c r="X17" s="26" t="n">
        <f aca="false">Supuestos!$C$33+(Supuestos!$C$34-Supuestos!$C$33)*MIN(4,4)/4</f>
        <v>0.8932</v>
      </c>
      <c r="Y17" s="26" t="n">
        <f aca="false">Supuestos!$C$33+(Supuestos!$C$34-Supuestos!$C$33)*MIN(4,4)/4</f>
        <v>0.8932</v>
      </c>
      <c r="Z17" s="26" t="n">
        <f aca="false">Supuestos!$C$33+(Supuestos!$C$34-Supuestos!$C$33)*MIN(4,4)/4</f>
        <v>0.8932</v>
      </c>
      <c r="AA17" s="26" t="n">
        <f aca="false">Supuestos!$C$33+(Supuestos!$C$34-Supuestos!$C$33)*MIN(5,4)/4</f>
        <v>0.8932</v>
      </c>
      <c r="AB17" s="26" t="n">
        <f aca="false">Supuestos!$C$33+(Supuestos!$C$34-Supuestos!$C$33)*MIN(5,4)/4</f>
        <v>0.8932</v>
      </c>
      <c r="AC17" s="26" t="n">
        <f aca="false">Supuestos!$C$33+(Supuestos!$C$34-Supuestos!$C$33)*MIN(5,4)/4</f>
        <v>0.8932</v>
      </c>
      <c r="AD17" s="26" t="n">
        <f aca="false">Supuestos!$C$33+(Supuestos!$C$34-Supuestos!$C$33)*MIN(5,4)/4</f>
        <v>0.8932</v>
      </c>
      <c r="AE17" s="26" t="n">
        <f aca="false">Supuestos!$C$33+(Supuestos!$C$34-Supuestos!$C$33)*MIN(5,4)/4</f>
        <v>0.8932</v>
      </c>
      <c r="AF17" s="26" t="n">
        <f aca="false">Supuestos!$C$33+(Supuestos!$C$34-Supuestos!$C$33)*MIN(5,4)/4</f>
        <v>0.8932</v>
      </c>
      <c r="AG17" s="26" t="n">
        <f aca="false">Supuestos!$C$33+(Supuestos!$C$34-Supuestos!$C$33)*MIN(5,4)/4</f>
        <v>0.8932</v>
      </c>
      <c r="AH17" s="26" t="n">
        <f aca="false">Supuestos!$C$33+(Supuestos!$C$34-Supuestos!$C$33)*MIN(5,4)/4</f>
        <v>0.8932</v>
      </c>
      <c r="AI17" s="26" t="n">
        <f aca="false">Supuestos!$C$33+(Supuestos!$C$34-Supuestos!$C$33)*MIN(5,4)/4</f>
        <v>0.8932</v>
      </c>
      <c r="AJ17" s="26" t="n">
        <f aca="false">Supuestos!$C$33+(Supuestos!$C$34-Supuestos!$C$33)*MIN(5,4)/4</f>
        <v>0.8932</v>
      </c>
      <c r="AK17" s="26" t="n">
        <f aca="false">Supuestos!$C$33+(Supuestos!$C$34-Supuestos!$C$33)*MIN(5,4)/4</f>
        <v>0.8932</v>
      </c>
      <c r="AL17" s="26" t="n">
        <f aca="false">Supuestos!$C$33+(Supuestos!$C$34-Supuestos!$C$33)*MIN(5,4)/4</f>
        <v>0.8932</v>
      </c>
      <c r="AM17" s="26" t="n">
        <f aca="false">Supuestos!$C$33+(Supuestos!$C$34-Supuestos!$C$33)*MIN(6,4)/4</f>
        <v>0.8932</v>
      </c>
      <c r="AN17" s="26" t="n">
        <f aca="false">Supuestos!$C$33+(Supuestos!$C$34-Supuestos!$C$33)*MIN(6,4)/4</f>
        <v>0.8932</v>
      </c>
      <c r="AO17" s="26" t="n">
        <f aca="false">Supuestos!$C$33+(Supuestos!$C$34-Supuestos!$C$33)*MIN(6,4)/4</f>
        <v>0.8932</v>
      </c>
      <c r="AP17" s="26" t="n">
        <f aca="false">Supuestos!$C$33+(Supuestos!$C$34-Supuestos!$C$33)*MIN(6,4)/4</f>
        <v>0.8932</v>
      </c>
      <c r="AQ17" s="26" t="n">
        <f aca="false">Supuestos!$C$33+(Supuestos!$C$34-Supuestos!$C$33)*MIN(6,4)/4</f>
        <v>0.8932</v>
      </c>
      <c r="AR17" s="26" t="n">
        <f aca="false">Supuestos!$C$33+(Supuestos!$C$34-Supuestos!$C$33)*MIN(6,4)/4</f>
        <v>0.8932</v>
      </c>
      <c r="AS17" s="26" t="n">
        <f aca="false">Supuestos!$C$33+(Supuestos!$C$34-Supuestos!$C$33)*MIN(6,4)/4</f>
        <v>0.8932</v>
      </c>
      <c r="AT17" s="26" t="n">
        <f aca="false">Supuestos!$C$33+(Supuestos!$C$34-Supuestos!$C$33)*MIN(6,4)/4</f>
        <v>0.8932</v>
      </c>
      <c r="AU17" s="26" t="n">
        <f aca="false">Supuestos!$C$33+(Supuestos!$C$34-Supuestos!$C$33)*MIN(6,4)/4</f>
        <v>0.8932</v>
      </c>
      <c r="AV17" s="26" t="n">
        <f aca="false">Supuestos!$C$33+(Supuestos!$C$34-Supuestos!$C$33)*MIN(6,4)/4</f>
        <v>0.8932</v>
      </c>
      <c r="AW17" s="26" t="n">
        <f aca="false">Supuestos!$C$33+(Supuestos!$C$34-Supuestos!$C$33)*MIN(6,4)/4</f>
        <v>0.8932</v>
      </c>
      <c r="AX17" s="26" t="n">
        <f aca="false">Supuestos!$C$33+(Supuestos!$C$34-Supuestos!$C$33)*MIN(6,4)/4</f>
        <v>0.8932</v>
      </c>
      <c r="AY17" s="26" t="n">
        <f aca="false">Supuestos!$C$33+(Supuestos!$C$34-Supuestos!$C$33)*MIN(7,4)/4</f>
        <v>0.8932</v>
      </c>
      <c r="AZ17" s="26" t="n">
        <f aca="false">Supuestos!$C$33+(Supuestos!$C$34-Supuestos!$C$33)*MIN(7,4)/4</f>
        <v>0.8932</v>
      </c>
      <c r="BA17" s="26" t="n">
        <f aca="false">Supuestos!$C$33+(Supuestos!$C$34-Supuestos!$C$33)*MIN(7,4)/4</f>
        <v>0.8932</v>
      </c>
      <c r="BB17" s="26" t="n">
        <f aca="false">Supuestos!$C$33+(Supuestos!$C$34-Supuestos!$C$33)*MIN(7,4)/4</f>
        <v>0.8932</v>
      </c>
      <c r="BC17" s="26" t="n">
        <f aca="false">Supuestos!$C$33+(Supuestos!$C$34-Supuestos!$C$33)*MIN(7,4)/4</f>
        <v>0.8932</v>
      </c>
      <c r="BD17" s="26" t="n">
        <f aca="false">Supuestos!$C$33+(Supuestos!$C$34-Supuestos!$C$33)*MIN(7,4)/4</f>
        <v>0.8932</v>
      </c>
      <c r="BE17" s="26" t="n">
        <f aca="false">Supuestos!$C$33+(Supuestos!$C$34-Supuestos!$C$33)*MIN(7,4)/4</f>
        <v>0.8932</v>
      </c>
      <c r="BF17" s="26" t="n">
        <f aca="false">Supuestos!$C$33+(Supuestos!$C$34-Supuestos!$C$33)*MIN(7,4)/4</f>
        <v>0.8932</v>
      </c>
      <c r="BG17" s="26" t="n">
        <f aca="false">Supuestos!$C$33+(Supuestos!$C$34-Supuestos!$C$33)*MIN(7,4)/4</f>
        <v>0.8932</v>
      </c>
      <c r="BH17" s="26" t="n">
        <f aca="false">Supuestos!$C$33+(Supuestos!$C$34-Supuestos!$C$33)*MIN(7,4)/4</f>
        <v>0.8932</v>
      </c>
      <c r="BI17" s="26" t="n">
        <f aca="false">Supuestos!$C$33+(Supuestos!$C$34-Supuestos!$C$33)*MIN(7,4)/4</f>
        <v>0.8932</v>
      </c>
      <c r="BJ17" s="26" t="n">
        <f aca="false">Supuestos!$C$33+(Supuestos!$C$34-Supuestos!$C$33)*MIN(7,4)/4</f>
        <v>0.8932</v>
      </c>
      <c r="BK17" s="26" t="n">
        <f aca="false">Supuestos!$C$33+(Supuestos!$C$34-Supuestos!$C$33)*MIN(8,4)/4</f>
        <v>0.8932</v>
      </c>
      <c r="BL17" s="26" t="n">
        <f aca="false">Supuestos!$C$33+(Supuestos!$C$34-Supuestos!$C$33)*MIN(8,4)/4</f>
        <v>0.8932</v>
      </c>
      <c r="BM17" s="26" t="n">
        <f aca="false">Supuestos!$C$33+(Supuestos!$C$34-Supuestos!$C$33)*MIN(8,4)/4</f>
        <v>0.8932</v>
      </c>
      <c r="BN17" s="26" t="n">
        <f aca="false">Supuestos!$C$33+(Supuestos!$C$34-Supuestos!$C$33)*MIN(8,4)/4</f>
        <v>0.8932</v>
      </c>
      <c r="BO17" s="26" t="n">
        <f aca="false">Supuestos!$C$33+(Supuestos!$C$34-Supuestos!$C$33)*MIN(8,4)/4</f>
        <v>0.8932</v>
      </c>
      <c r="BP17" s="26" t="n">
        <f aca="false">Supuestos!$C$33+(Supuestos!$C$34-Supuestos!$C$33)*MIN(8,4)/4</f>
        <v>0.8932</v>
      </c>
      <c r="BQ17" s="26" t="n">
        <f aca="false">Supuestos!$C$33+(Supuestos!$C$34-Supuestos!$C$33)*MIN(8,4)/4</f>
        <v>0.8932</v>
      </c>
      <c r="BR17" s="26" t="n">
        <f aca="false">Supuestos!$C$33+(Supuestos!$C$34-Supuestos!$C$33)*MIN(8,4)/4</f>
        <v>0.8932</v>
      </c>
      <c r="BS17" s="26" t="n">
        <f aca="false">Supuestos!$C$33+(Supuestos!$C$34-Supuestos!$C$33)*MIN(8,4)/4</f>
        <v>0.8932</v>
      </c>
      <c r="BT17" s="26" t="n">
        <f aca="false">Supuestos!$C$33+(Supuestos!$C$34-Supuestos!$C$33)*MIN(8,4)/4</f>
        <v>0.8932</v>
      </c>
      <c r="BU17" s="26" t="n">
        <f aca="false">Supuestos!$C$33+(Supuestos!$C$34-Supuestos!$C$33)*MIN(8,4)/4</f>
        <v>0.8932</v>
      </c>
      <c r="BV17" s="26" t="n">
        <f aca="false">Supuestos!$C$33+(Supuestos!$C$34-Supuestos!$C$33)*MIN(8,4)/4</f>
        <v>0.8932</v>
      </c>
      <c r="BW17" s="26" t="n">
        <f aca="false">Supuestos!$C$33+(Supuestos!$C$34-Supuestos!$C$33)*MIN(9,4)/4</f>
        <v>0.8932</v>
      </c>
      <c r="BX17" s="26" t="n">
        <f aca="false">Supuestos!$C$33+(Supuestos!$C$34-Supuestos!$C$33)*MIN(9,4)/4</f>
        <v>0.8932</v>
      </c>
      <c r="BY17" s="26" t="n">
        <f aca="false">Supuestos!$C$33+(Supuestos!$C$34-Supuestos!$C$33)*MIN(9,4)/4</f>
        <v>0.8932</v>
      </c>
      <c r="BZ17" s="26" t="n">
        <f aca="false">Supuestos!$C$33+(Supuestos!$C$34-Supuestos!$C$33)*MIN(9,4)/4</f>
        <v>0.8932</v>
      </c>
      <c r="CA17" s="26" t="n">
        <f aca="false">Supuestos!$C$33+(Supuestos!$C$34-Supuestos!$C$33)*MIN(9,4)/4</f>
        <v>0.8932</v>
      </c>
      <c r="CB17" s="26" t="n">
        <f aca="false">Supuestos!$C$33+(Supuestos!$C$34-Supuestos!$C$33)*MIN(9,4)/4</f>
        <v>0.8932</v>
      </c>
      <c r="CC17" s="26" t="n">
        <f aca="false">Supuestos!$C$33+(Supuestos!$C$34-Supuestos!$C$33)*MIN(9,4)/4</f>
        <v>0.8932</v>
      </c>
      <c r="CD17" s="26" t="n">
        <f aca="false">Supuestos!$C$33+(Supuestos!$C$34-Supuestos!$C$33)*MIN(9,4)/4</f>
        <v>0.8932</v>
      </c>
      <c r="CE17" s="26" t="n">
        <f aca="false">Supuestos!$C$33+(Supuestos!$C$34-Supuestos!$C$33)*MIN(9,4)/4</f>
        <v>0.8932</v>
      </c>
      <c r="CF17" s="26" t="n">
        <f aca="false">Supuestos!$C$33+(Supuestos!$C$34-Supuestos!$C$33)*MIN(9,4)/4</f>
        <v>0.8932</v>
      </c>
      <c r="CG17" s="26" t="n">
        <f aca="false">Supuestos!$C$33+(Supuestos!$C$34-Supuestos!$C$33)*MIN(9,4)/4</f>
        <v>0.8932</v>
      </c>
      <c r="CH17" s="26" t="n">
        <f aca="false">Supuestos!$C$33+(Supuestos!$C$34-Supuestos!$C$33)*MIN(9,4)/4</f>
        <v>0.8932</v>
      </c>
      <c r="CI17" s="26" t="n">
        <f aca="false">Supuestos!$C$33+(Supuestos!$C$34-Supuestos!$C$33)*MIN(10,4)/4</f>
        <v>0.8932</v>
      </c>
      <c r="CJ17" s="26" t="n">
        <f aca="false">Supuestos!$C$33+(Supuestos!$C$34-Supuestos!$C$33)*MIN(10,4)/4</f>
        <v>0.8932</v>
      </c>
      <c r="CK17" s="26" t="n">
        <f aca="false">Supuestos!$C$33+(Supuestos!$C$34-Supuestos!$C$33)*MIN(10,4)/4</f>
        <v>0.8932</v>
      </c>
      <c r="CL17" s="26" t="n">
        <f aca="false">Supuestos!$C$33+(Supuestos!$C$34-Supuestos!$C$33)*MIN(10,4)/4</f>
        <v>0.8932</v>
      </c>
      <c r="CM17" s="26" t="n">
        <f aca="false">Supuestos!$C$33+(Supuestos!$C$34-Supuestos!$C$33)*MIN(10,4)/4</f>
        <v>0.8932</v>
      </c>
      <c r="CN17" s="26" t="n">
        <f aca="false">Supuestos!$C$33+(Supuestos!$C$34-Supuestos!$C$33)*MIN(10,4)/4</f>
        <v>0.8932</v>
      </c>
      <c r="CO17" s="26" t="n">
        <f aca="false">Supuestos!$C$33+(Supuestos!$C$34-Supuestos!$C$33)*MIN(10,4)/4</f>
        <v>0.8932</v>
      </c>
      <c r="CP17" s="26" t="n">
        <f aca="false">Supuestos!$C$33+(Supuestos!$C$34-Supuestos!$C$33)*MIN(10,4)/4</f>
        <v>0.8932</v>
      </c>
      <c r="CQ17" s="26" t="n">
        <f aca="false">Supuestos!$C$33+(Supuestos!$C$34-Supuestos!$C$33)*MIN(10,4)/4</f>
        <v>0.8932</v>
      </c>
      <c r="CR17" s="26" t="n">
        <f aca="false">Supuestos!$C$33+(Supuestos!$C$34-Supuestos!$C$33)*MIN(10,4)/4</f>
        <v>0.8932</v>
      </c>
      <c r="CS17" s="26" t="n">
        <f aca="false">Supuestos!$C$33+(Supuestos!$C$34-Supuestos!$C$33)*MIN(10,4)/4</f>
        <v>0.8932</v>
      </c>
      <c r="CT17" s="26" t="n">
        <f aca="false">Supuestos!$C$33+(Supuestos!$C$34-Supuestos!$C$33)*MIN(10,4)/4</f>
        <v>0.8932</v>
      </c>
    </row>
    <row r="18" customFormat="false" ht="15" hidden="false" customHeight="true" outlineLevel="0" collapsed="false">
      <c r="A18" s="2"/>
      <c r="B18" s="19" t="s">
        <v>560</v>
      </c>
      <c r="C18" s="59" t="n">
        <f aca="false">C17/Supuestos!$C$33</f>
        <v>1</v>
      </c>
      <c r="D18" s="59" t="n">
        <f aca="false">D17/Supuestos!$C$33</f>
        <v>1</v>
      </c>
      <c r="E18" s="59" t="n">
        <f aca="false">E17/Supuestos!$C$33</f>
        <v>1</v>
      </c>
      <c r="F18" s="59" t="n">
        <f aca="false">F17/Supuestos!$C$33</f>
        <v>1</v>
      </c>
      <c r="G18" s="59" t="n">
        <f aca="false">G17/Supuestos!$C$33</f>
        <v>1</v>
      </c>
      <c r="H18" s="59" t="n">
        <f aca="false">H17/Supuestos!$C$33</f>
        <v>1</v>
      </c>
      <c r="I18" s="59" t="n">
        <f aca="false">I17/Supuestos!$C$33</f>
        <v>1</v>
      </c>
      <c r="J18" s="59" t="n">
        <f aca="false">J17/Supuestos!$C$33</f>
        <v>1</v>
      </c>
      <c r="K18" s="59" t="n">
        <f aca="false">K17/Supuestos!$C$33</f>
        <v>1</v>
      </c>
      <c r="L18" s="59" t="n">
        <f aca="false">L17/Supuestos!$C$33</f>
        <v>1</v>
      </c>
      <c r="M18" s="59" t="n">
        <f aca="false">M17/Supuestos!$C$33</f>
        <v>1</v>
      </c>
      <c r="N18" s="59" t="n">
        <f aca="false">N17/Supuestos!$C$33</f>
        <v>1</v>
      </c>
      <c r="O18" s="59" t="n">
        <f aca="false">O17/Supuestos!$C$33</f>
        <v>1</v>
      </c>
      <c r="P18" s="59" t="n">
        <f aca="false">P17/Supuestos!$C$33</f>
        <v>1</v>
      </c>
      <c r="Q18" s="59" t="n">
        <f aca="false">Q17/Supuestos!$C$33</f>
        <v>1</v>
      </c>
      <c r="R18" s="59" t="n">
        <f aca="false">R17/Supuestos!$C$33</f>
        <v>1</v>
      </c>
      <c r="S18" s="59" t="n">
        <f aca="false">S17/Supuestos!$C$33</f>
        <v>1</v>
      </c>
      <c r="T18" s="59" t="n">
        <f aca="false">T17/Supuestos!$C$33</f>
        <v>1</v>
      </c>
      <c r="U18" s="59" t="n">
        <f aca="false">U17/Supuestos!$C$33</f>
        <v>1</v>
      </c>
      <c r="V18" s="59" t="n">
        <f aca="false">V17/Supuestos!$C$33</f>
        <v>1</v>
      </c>
      <c r="W18" s="59" t="n">
        <f aca="false">W17/Supuestos!$C$33</f>
        <v>1</v>
      </c>
      <c r="X18" s="59" t="n">
        <f aca="false">X17/Supuestos!$C$33</f>
        <v>1</v>
      </c>
      <c r="Y18" s="59" t="n">
        <f aca="false">Y17/Supuestos!$C$33</f>
        <v>1</v>
      </c>
      <c r="Z18" s="59" t="n">
        <f aca="false">Z17/Supuestos!$C$33</f>
        <v>1</v>
      </c>
      <c r="AA18" s="59" t="n">
        <f aca="false">AA17/Supuestos!$C$33</f>
        <v>1</v>
      </c>
      <c r="AB18" s="59" t="n">
        <f aca="false">AB17/Supuestos!$C$33</f>
        <v>1</v>
      </c>
      <c r="AC18" s="59" t="n">
        <f aca="false">AC17/Supuestos!$C$33</f>
        <v>1</v>
      </c>
      <c r="AD18" s="59" t="n">
        <f aca="false">AD17/Supuestos!$C$33</f>
        <v>1</v>
      </c>
      <c r="AE18" s="59" t="n">
        <f aca="false">AE17/Supuestos!$C$33</f>
        <v>1</v>
      </c>
      <c r="AF18" s="59" t="n">
        <f aca="false">AF17/Supuestos!$C$33</f>
        <v>1</v>
      </c>
      <c r="AG18" s="59" t="n">
        <f aca="false">AG17/Supuestos!$C$33</f>
        <v>1</v>
      </c>
      <c r="AH18" s="59" t="n">
        <f aca="false">AH17/Supuestos!$C$33</f>
        <v>1</v>
      </c>
      <c r="AI18" s="59" t="n">
        <f aca="false">AI17/Supuestos!$C$33</f>
        <v>1</v>
      </c>
      <c r="AJ18" s="59" t="n">
        <f aca="false">AJ17/Supuestos!$C$33</f>
        <v>1</v>
      </c>
      <c r="AK18" s="59" t="n">
        <f aca="false">AK17/Supuestos!$C$33</f>
        <v>1</v>
      </c>
      <c r="AL18" s="59" t="n">
        <f aca="false">AL17/Supuestos!$C$33</f>
        <v>1</v>
      </c>
      <c r="AM18" s="59" t="n">
        <f aca="false">AM17/Supuestos!$C$33</f>
        <v>1</v>
      </c>
      <c r="AN18" s="59" t="n">
        <f aca="false">AN17/Supuestos!$C$33</f>
        <v>1</v>
      </c>
      <c r="AO18" s="59" t="n">
        <f aca="false">AO17/Supuestos!$C$33</f>
        <v>1</v>
      </c>
      <c r="AP18" s="59" t="n">
        <f aca="false">AP17/Supuestos!$C$33</f>
        <v>1</v>
      </c>
      <c r="AQ18" s="59" t="n">
        <f aca="false">AQ17/Supuestos!$C$33</f>
        <v>1</v>
      </c>
      <c r="AR18" s="59" t="n">
        <f aca="false">AR17/Supuestos!$C$33</f>
        <v>1</v>
      </c>
      <c r="AS18" s="59" t="n">
        <f aca="false">AS17/Supuestos!$C$33</f>
        <v>1</v>
      </c>
      <c r="AT18" s="59" t="n">
        <f aca="false">AT17/Supuestos!$C$33</f>
        <v>1</v>
      </c>
      <c r="AU18" s="59" t="n">
        <f aca="false">AU17/Supuestos!$C$33</f>
        <v>1</v>
      </c>
      <c r="AV18" s="59" t="n">
        <f aca="false">AV17/Supuestos!$C$33</f>
        <v>1</v>
      </c>
      <c r="AW18" s="59" t="n">
        <f aca="false">AW17/Supuestos!$C$33</f>
        <v>1</v>
      </c>
      <c r="AX18" s="59" t="n">
        <f aca="false">AX17/Supuestos!$C$33</f>
        <v>1</v>
      </c>
      <c r="AY18" s="59" t="n">
        <f aca="false">AY17/Supuestos!$C$33</f>
        <v>1</v>
      </c>
      <c r="AZ18" s="59" t="n">
        <f aca="false">AZ17/Supuestos!$C$33</f>
        <v>1</v>
      </c>
      <c r="BA18" s="59" t="n">
        <f aca="false">BA17/Supuestos!$C$33</f>
        <v>1</v>
      </c>
      <c r="BB18" s="59" t="n">
        <f aca="false">BB17/Supuestos!$C$33</f>
        <v>1</v>
      </c>
      <c r="BC18" s="59" t="n">
        <f aca="false">BC17/Supuestos!$C$33</f>
        <v>1</v>
      </c>
      <c r="BD18" s="59" t="n">
        <f aca="false">BD17/Supuestos!$C$33</f>
        <v>1</v>
      </c>
      <c r="BE18" s="59" t="n">
        <f aca="false">BE17/Supuestos!$C$33</f>
        <v>1</v>
      </c>
      <c r="BF18" s="59" t="n">
        <f aca="false">BF17/Supuestos!$C$33</f>
        <v>1</v>
      </c>
      <c r="BG18" s="59" t="n">
        <f aca="false">BG17/Supuestos!$C$33</f>
        <v>1</v>
      </c>
      <c r="BH18" s="59" t="n">
        <f aca="false">BH17/Supuestos!$C$33</f>
        <v>1</v>
      </c>
      <c r="BI18" s="59" t="n">
        <f aca="false">BI17/Supuestos!$C$33</f>
        <v>1</v>
      </c>
      <c r="BJ18" s="59" t="n">
        <f aca="false">BJ17/Supuestos!$C$33</f>
        <v>1</v>
      </c>
      <c r="BK18" s="59" t="n">
        <f aca="false">BK17/Supuestos!$C$33</f>
        <v>1</v>
      </c>
      <c r="BL18" s="59" t="n">
        <f aca="false">BL17/Supuestos!$C$33</f>
        <v>1</v>
      </c>
      <c r="BM18" s="59" t="n">
        <f aca="false">BM17/Supuestos!$C$33</f>
        <v>1</v>
      </c>
      <c r="BN18" s="59" t="n">
        <f aca="false">BN17/Supuestos!$C$33</f>
        <v>1</v>
      </c>
      <c r="BO18" s="59" t="n">
        <f aca="false">BO17/Supuestos!$C$33</f>
        <v>1</v>
      </c>
      <c r="BP18" s="59" t="n">
        <f aca="false">BP17/Supuestos!$C$33</f>
        <v>1</v>
      </c>
      <c r="BQ18" s="59" t="n">
        <f aca="false">BQ17/Supuestos!$C$33</f>
        <v>1</v>
      </c>
      <c r="BR18" s="59" t="n">
        <f aca="false">BR17/Supuestos!$C$33</f>
        <v>1</v>
      </c>
      <c r="BS18" s="59" t="n">
        <f aca="false">BS17/Supuestos!$C$33</f>
        <v>1</v>
      </c>
      <c r="BT18" s="59" t="n">
        <f aca="false">BT17/Supuestos!$C$33</f>
        <v>1</v>
      </c>
      <c r="BU18" s="59" t="n">
        <f aca="false">BU17/Supuestos!$C$33</f>
        <v>1</v>
      </c>
      <c r="BV18" s="59" t="n">
        <f aca="false">BV17/Supuestos!$C$33</f>
        <v>1</v>
      </c>
      <c r="BW18" s="59" t="n">
        <f aca="false">BW17/Supuestos!$C$33</f>
        <v>1</v>
      </c>
      <c r="BX18" s="59" t="n">
        <f aca="false">BX17/Supuestos!$C$33</f>
        <v>1</v>
      </c>
      <c r="BY18" s="59" t="n">
        <f aca="false">BY17/Supuestos!$C$33</f>
        <v>1</v>
      </c>
      <c r="BZ18" s="59" t="n">
        <f aca="false">BZ17/Supuestos!$C$33</f>
        <v>1</v>
      </c>
      <c r="CA18" s="59" t="n">
        <f aca="false">CA17/Supuestos!$C$33</f>
        <v>1</v>
      </c>
      <c r="CB18" s="59" t="n">
        <f aca="false">CB17/Supuestos!$C$33</f>
        <v>1</v>
      </c>
      <c r="CC18" s="59" t="n">
        <f aca="false">CC17/Supuestos!$C$33</f>
        <v>1</v>
      </c>
      <c r="CD18" s="59" t="n">
        <f aca="false">CD17/Supuestos!$C$33</f>
        <v>1</v>
      </c>
      <c r="CE18" s="59" t="n">
        <f aca="false">CE17/Supuestos!$C$33</f>
        <v>1</v>
      </c>
      <c r="CF18" s="59" t="n">
        <f aca="false">CF17/Supuestos!$C$33</f>
        <v>1</v>
      </c>
      <c r="CG18" s="59" t="n">
        <f aca="false">CG17/Supuestos!$C$33</f>
        <v>1</v>
      </c>
      <c r="CH18" s="59" t="n">
        <f aca="false">CH17/Supuestos!$C$33</f>
        <v>1</v>
      </c>
      <c r="CI18" s="59" t="n">
        <f aca="false">CI17/Supuestos!$C$33</f>
        <v>1</v>
      </c>
      <c r="CJ18" s="59" t="n">
        <f aca="false">CJ17/Supuestos!$C$33</f>
        <v>1</v>
      </c>
      <c r="CK18" s="59" t="n">
        <f aca="false">CK17/Supuestos!$C$33</f>
        <v>1</v>
      </c>
      <c r="CL18" s="59" t="n">
        <f aca="false">CL17/Supuestos!$C$33</f>
        <v>1</v>
      </c>
      <c r="CM18" s="59" t="n">
        <f aca="false">CM17/Supuestos!$C$33</f>
        <v>1</v>
      </c>
      <c r="CN18" s="59" t="n">
        <f aca="false">CN17/Supuestos!$C$33</f>
        <v>1</v>
      </c>
      <c r="CO18" s="59" t="n">
        <f aca="false">CO17/Supuestos!$C$33</f>
        <v>1</v>
      </c>
      <c r="CP18" s="59" t="n">
        <f aca="false">CP17/Supuestos!$C$33</f>
        <v>1</v>
      </c>
      <c r="CQ18" s="59" t="n">
        <f aca="false">CQ17/Supuestos!$C$33</f>
        <v>1</v>
      </c>
      <c r="CR18" s="59" t="n">
        <f aca="false">CR17/Supuestos!$C$33</f>
        <v>1</v>
      </c>
      <c r="CS18" s="59" t="n">
        <f aca="false">CS17/Supuestos!$C$33</f>
        <v>1</v>
      </c>
      <c r="CT18" s="59" t="n">
        <f aca="false">CT17/Supuestos!$C$33</f>
        <v>1</v>
      </c>
    </row>
    <row r="19" customFormat="false" ht="15" hidden="false" customHeight="true" outlineLevel="0" collapsed="false">
      <c r="A19" s="2"/>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row>
    <row r="20" customFormat="false" ht="15" hidden="false" customHeight="true" outlineLevel="0" collapsed="false">
      <c r="A20" s="2"/>
      <c r="B20" s="54" t="s">
        <v>561</v>
      </c>
      <c r="C20" s="60" t="n">
        <f aca="false">C13+C16</f>
        <v>29166628292.2543</v>
      </c>
      <c r="D20" s="60" t="n">
        <f aca="false">D13+D16</f>
        <v>25043084721.5641</v>
      </c>
      <c r="E20" s="60" t="n">
        <f aca="false">E13+E16</f>
        <v>26315574247.5899</v>
      </c>
      <c r="F20" s="60" t="n">
        <f aca="false">F13+F16</f>
        <v>25792818227.0854</v>
      </c>
      <c r="G20" s="60" t="n">
        <f aca="false">G13+G16</f>
        <v>25290363214.553</v>
      </c>
      <c r="H20" s="60" t="n">
        <f aca="false">H13+H16</f>
        <v>25833420243.0298</v>
      </c>
      <c r="I20" s="60" t="n">
        <f aca="false">I13+I16</f>
        <v>26335875255.5621</v>
      </c>
      <c r="J20" s="60" t="n">
        <f aca="false">J13+J16</f>
        <v>25813119235.0576</v>
      </c>
      <c r="K20" s="60" t="n">
        <f aca="false">K13+K16</f>
        <v>25290363214.553</v>
      </c>
      <c r="L20" s="60" t="n">
        <f aca="false">L13+L16</f>
        <v>25833420243.0298</v>
      </c>
      <c r="M20" s="60" t="n">
        <f aca="false">M13+M16</f>
        <v>25310664222.5252</v>
      </c>
      <c r="N20" s="60" t="n">
        <f aca="false">N13+N16</f>
        <v>26423144115.344</v>
      </c>
      <c r="O20" s="60" t="n">
        <f aca="false">O13+O16</f>
        <v>29775437263.0339</v>
      </c>
      <c r="P20" s="60" t="n">
        <f aca="false">P13+P16</f>
        <v>25520408737.1822</v>
      </c>
      <c r="Q20" s="60" t="n">
        <f aca="false">Q13+Q16</f>
        <v>26816838692.1912</v>
      </c>
      <c r="R20" s="60" t="n">
        <f aca="false">R13+R16</f>
        <v>26280627893.149</v>
      </c>
      <c r="S20" s="60" t="n">
        <f aca="false">S13+S16</f>
        <v>25764718102.079</v>
      </c>
      <c r="T20" s="60" t="n">
        <f aca="false">T13+T16</f>
        <v>26321229909.0934</v>
      </c>
      <c r="U20" s="60" t="n">
        <f aca="false">U13+U16</f>
        <v>26837139700.1634</v>
      </c>
      <c r="V20" s="60" t="n">
        <f aca="false">V13+V16</f>
        <v>26300928901.1212</v>
      </c>
      <c r="W20" s="60" t="n">
        <f aca="false">W13+W16</f>
        <v>25764718102.079</v>
      </c>
      <c r="X20" s="60" t="n">
        <f aca="false">X13+X16</f>
        <v>26321229909.0934</v>
      </c>
      <c r="Y20" s="60" t="n">
        <f aca="false">Y13+Y16</f>
        <v>25785019110.0512</v>
      </c>
      <c r="Z20" s="60" t="n">
        <f aca="false">Z13+Z16</f>
        <v>26945286158.7133</v>
      </c>
      <c r="AA20" s="60" t="n">
        <f aca="false">AA13+AA16</f>
        <v>30186448019.3443</v>
      </c>
      <c r="AB20" s="60" t="n">
        <f aca="false">AB13+AB16</f>
        <v>25836696619.89</v>
      </c>
      <c r="AC20" s="60" t="n">
        <f aca="false">AC13+AC16</f>
        <v>27149013567.1855</v>
      </c>
      <c r="AD20" s="60" t="n">
        <f aca="false">AD13+AD16</f>
        <v>26603407308.9805</v>
      </c>
      <c r="AE20" s="60" t="n">
        <f aca="false">AE13+AE16</f>
        <v>26078102058.7477</v>
      </c>
      <c r="AF20" s="60" t="n">
        <f aca="false">AF13+AF16</f>
        <v>26644009324.9249</v>
      </c>
      <c r="AG20" s="60" t="n">
        <f aca="false">AG13+AG16</f>
        <v>27169314575.1577</v>
      </c>
      <c r="AH20" s="60" t="n">
        <f aca="false">AH13+AH16</f>
        <v>26623708316.9527</v>
      </c>
      <c r="AI20" s="60" t="n">
        <f aca="false">AI13+AI16</f>
        <v>26078102058.7477</v>
      </c>
      <c r="AJ20" s="60" t="n">
        <f aca="false">AJ13+AJ16</f>
        <v>26644009324.9249</v>
      </c>
      <c r="AK20" s="60" t="n">
        <f aca="false">AK13+AK16</f>
        <v>26098403066.7199</v>
      </c>
      <c r="AL20" s="60" t="n">
        <f aca="false">AL13+AL16</f>
        <v>27294116307.9685</v>
      </c>
      <c r="AM20" s="60" t="n">
        <f aca="false">AM13+AM16</f>
        <v>30506632744.2205</v>
      </c>
      <c r="AN20" s="60" t="n">
        <f aca="false">AN13+AN16</f>
        <v>26079263118.4686</v>
      </c>
      <c r="AO20" s="60" t="n">
        <f aca="false">AO13+AO16</f>
        <v>27403779394.5886</v>
      </c>
      <c r="AP20" s="60" t="n">
        <f aca="false">AP13+AP16</f>
        <v>26850653394.0596</v>
      </c>
      <c r="AQ20" s="60" t="n">
        <f aca="false">AQ13+AQ16</f>
        <v>26317828401.5028</v>
      </c>
      <c r="AR20" s="60" t="n">
        <f aca="false">AR13+AR16</f>
        <v>26891255410.004</v>
      </c>
      <c r="AS20" s="60" t="n">
        <f aca="false">AS13+AS16</f>
        <v>27424080402.5608</v>
      </c>
      <c r="AT20" s="60" t="n">
        <f aca="false">AT13+AT16</f>
        <v>26870954402.0318</v>
      </c>
      <c r="AU20" s="60" t="n">
        <f aca="false">AU13+AU16</f>
        <v>26317828401.5028</v>
      </c>
      <c r="AV20" s="60" t="n">
        <f aca="false">AV13+AV16</f>
        <v>26891255410.004</v>
      </c>
      <c r="AW20" s="60" t="n">
        <f aca="false">AW13+AW16</f>
        <v>26338129409.475</v>
      </c>
      <c r="AX20" s="60" t="n">
        <f aca="false">AX13+AX16</f>
        <v>27563502267.254</v>
      </c>
      <c r="AY20" s="60" t="n">
        <f aca="false">AY13+AY16</f>
        <v>30833253235.1379</v>
      </c>
      <c r="AZ20" s="60" t="n">
        <f aca="false">AZ13+AZ16</f>
        <v>26327496344.5747</v>
      </c>
      <c r="BA20" s="60" t="n">
        <f aca="false">BA13+BA16</f>
        <v>27664493726.65</v>
      </c>
      <c r="BB20" s="60" t="n">
        <f aca="false">BB13+BB16</f>
        <v>27103738280.1426</v>
      </c>
      <c r="BC20" s="60" t="n">
        <f aca="false">BC13+BC16</f>
        <v>26563283841.6074</v>
      </c>
      <c r="BD20" s="60" t="n">
        <f aca="false">BD13+BD16</f>
        <v>27144340296.087</v>
      </c>
      <c r="BE20" s="60" t="n">
        <f aca="false">BE13+BE16</f>
        <v>27684794734.6223</v>
      </c>
      <c r="BF20" s="60" t="n">
        <f aca="false">BF13+BF16</f>
        <v>27124039288.1148</v>
      </c>
      <c r="BG20" s="60" t="n">
        <f aca="false">BG13+BG16</f>
        <v>26563283841.6074</v>
      </c>
      <c r="BH20" s="60" t="n">
        <f aca="false">BH13+BH16</f>
        <v>27144340296.087</v>
      </c>
      <c r="BI20" s="60" t="n">
        <f aca="false">BI13+BI16</f>
        <v>26583584849.5796</v>
      </c>
      <c r="BJ20" s="60" t="n">
        <f aca="false">BJ13+BJ16</f>
        <v>27838790510.2978</v>
      </c>
      <c r="BK20" s="60" t="n">
        <f aca="false">BK13+BK16</f>
        <v>31171022256.4446</v>
      </c>
      <c r="BL20" s="60" t="n">
        <f aca="false">BL13+BL16</f>
        <v>26585234382.3987</v>
      </c>
      <c r="BM20" s="60" t="n">
        <f aca="false">BM13+BM16</f>
        <v>27935186586.0107</v>
      </c>
      <c r="BN20" s="60" t="n">
        <f aca="false">BN13+BN16</f>
        <v>27366595335.8244</v>
      </c>
      <c r="BO20" s="60" t="n">
        <f aca="false">BO13+BO16</f>
        <v>26818305093.6104</v>
      </c>
      <c r="BP20" s="60" t="n">
        <f aca="false">BP13+BP16</f>
        <v>27407197351.7688</v>
      </c>
      <c r="BQ20" s="60" t="n">
        <f aca="false">BQ13+BQ16</f>
        <v>27955487593.9829</v>
      </c>
      <c r="BR20" s="60" t="n">
        <f aca="false">BR13+BR16</f>
        <v>27386896343.7966</v>
      </c>
      <c r="BS20" s="60" t="n">
        <f aca="false">BS13+BS16</f>
        <v>26818305093.6104</v>
      </c>
      <c r="BT20" s="60" t="n">
        <f aca="false">BT13+BT16</f>
        <v>27407197351.7688</v>
      </c>
      <c r="BU20" s="60" t="n">
        <f aca="false">BU13+BU16</f>
        <v>26838606101.5826</v>
      </c>
      <c r="BV20" s="60" t="n">
        <f aca="false">BV13+BV16</f>
        <v>28124111137.8896</v>
      </c>
      <c r="BW20" s="60" t="n">
        <f aca="false">BW13+BW16</f>
        <v>31520052248.1823</v>
      </c>
      <c r="BX20" s="60" t="n">
        <f aca="false">BX13+BX16</f>
        <v>26852560148.5357</v>
      </c>
      <c r="BY20" s="60" t="n">
        <f aca="false">BY13+BY16</f>
        <v>28215945068.5847</v>
      </c>
      <c r="BZ20" s="60" t="n">
        <f aca="false">BZ13+BZ16</f>
        <v>27639308897.5778</v>
      </c>
      <c r="CA20" s="60" t="n">
        <f aca="false">CA13+CA16</f>
        <v>27082973734.5431</v>
      </c>
      <c r="CB20" s="60" t="n">
        <f aca="false">CB13+CB16</f>
        <v>27679910913.5222</v>
      </c>
      <c r="CC20" s="60" t="n">
        <f aca="false">CC13+CC16</f>
        <v>28236246076.5569</v>
      </c>
      <c r="CD20" s="60" t="n">
        <f aca="false">CD13+CD16</f>
        <v>27659609905.55</v>
      </c>
      <c r="CE20" s="60" t="n">
        <f aca="false">CE13+CE16</f>
        <v>27082973734.5431</v>
      </c>
      <c r="CF20" s="60" t="n">
        <f aca="false">CF13+CF16</f>
        <v>27679910913.5222</v>
      </c>
      <c r="CG20" s="60" t="n">
        <f aca="false">CG13+CG16</f>
        <v>27103274742.5153</v>
      </c>
      <c r="CH20" s="60" t="n">
        <f aca="false">CH13+CH16</f>
        <v>28419557354.2949</v>
      </c>
      <c r="CI20" s="60" t="n">
        <f aca="false">CI13+CI16</f>
        <v>31880460147.8143</v>
      </c>
      <c r="CJ20" s="60" t="n">
        <f aca="false">CJ13+CJ16</f>
        <v>27129560425.7566</v>
      </c>
      <c r="CK20" s="60" t="n">
        <f aca="false">CK13+CK16</f>
        <v>28506860329.035</v>
      </c>
      <c r="CL20" s="60" t="n">
        <f aca="false">CL13+CL16</f>
        <v>27921967279.046</v>
      </c>
      <c r="CM20" s="60" t="n">
        <f aca="false">CM13+CM16</f>
        <v>27357375237.0293</v>
      </c>
      <c r="CN20" s="60" t="n">
        <f aca="false">CN13+CN16</f>
        <v>27962569294.9904</v>
      </c>
      <c r="CO20" s="60" t="n">
        <f aca="false">CO13+CO16</f>
        <v>28527161337.0072</v>
      </c>
      <c r="CP20" s="60" t="n">
        <f aca="false">CP13+CP16</f>
        <v>27942268287.0183</v>
      </c>
      <c r="CQ20" s="60" t="n">
        <f aca="false">CQ13+CQ16</f>
        <v>27357375237.0293</v>
      </c>
      <c r="CR20" s="60" t="n">
        <f aca="false">CR13+CR16</f>
        <v>27962569294.9904</v>
      </c>
      <c r="CS20" s="60" t="n">
        <f aca="false">CS13+CS16</f>
        <v>27377676245.0015</v>
      </c>
      <c r="CT20" s="60" t="n">
        <f aca="false">CT13+CT16</f>
        <v>28725226430.5645</v>
      </c>
    </row>
    <row r="21" customFormat="false" ht="15" hidden="false" customHeight="false" outlineLevel="0" collapsed="false">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row>
    <row r="22" customFormat="false" ht="15" hidden="false" customHeight="true" outlineLevel="0" collapsed="false">
      <c r="A22" s="2"/>
      <c r="B22" s="61" t="s">
        <v>562</v>
      </c>
      <c r="C22" s="62" t="n">
        <f aca="false">C13*((Supuestos!$C$6+Supuestos!$C$8+Supuestos!$C$10+Supuestos!$C$11)/(Supuestos!$C$7+Supuestos!$C$9+Supuestos!$C$10+Supuestos!$C$11)/C18-1)</f>
        <v>3473877389.35805</v>
      </c>
      <c r="D22" s="62" t="n">
        <f aca="false">D13*((Supuestos!$C$6+Supuestos!$C$8+Supuestos!$C$10+Supuestos!$C$11)/(Supuestos!$C$7+Supuestos!$C$9+Supuestos!$C$10+Supuestos!$C$11)/D18-1)</f>
        <v>2981029495.68624</v>
      </c>
      <c r="E22" s="62" t="n">
        <f aca="false">E13*((Supuestos!$C$6+Supuestos!$C$8+Supuestos!$C$10+Supuestos!$C$11)/(Supuestos!$C$7+Supuestos!$C$9+Supuestos!$C$10+Supuestos!$C$11)/E18-1)</f>
        <v>3125838892.102</v>
      </c>
      <c r="F22" s="62" t="n">
        <f aca="false">F13*((Supuestos!$C$6+Supuestos!$C$8+Supuestos!$C$10+Supuestos!$C$11)/(Supuestos!$C$7+Supuestos!$C$9+Supuestos!$C$10+Supuestos!$C$11)/F18-1)</f>
        <v>3063358843.28157</v>
      </c>
      <c r="G22" s="62" t="n">
        <f aca="false">G13*((Supuestos!$C$6+Supuestos!$C$8+Supuestos!$C$10+Supuestos!$C$11)/(Supuestos!$C$7+Supuestos!$C$9+Supuestos!$C$10+Supuestos!$C$11)/G18-1)</f>
        <v>3000878794.46113</v>
      </c>
      <c r="H22" s="62" t="n">
        <f aca="false">H13*((Supuestos!$C$6+Supuestos!$C$8+Supuestos!$C$10+Supuestos!$C$11)/(Supuestos!$C$7+Supuestos!$C$9+Supuestos!$C$10+Supuestos!$C$11)/H18-1)</f>
        <v>3063358843.28157</v>
      </c>
      <c r="I22" s="62" t="n">
        <f aca="false">I13*((Supuestos!$C$6+Supuestos!$C$8+Supuestos!$C$10+Supuestos!$C$11)/(Supuestos!$C$7+Supuestos!$C$9+Supuestos!$C$10+Supuestos!$C$11)/I18-1)</f>
        <v>3125838892.102</v>
      </c>
      <c r="J22" s="62" t="n">
        <f aca="false">J13*((Supuestos!$C$6+Supuestos!$C$8+Supuestos!$C$10+Supuestos!$C$11)/(Supuestos!$C$7+Supuestos!$C$9+Supuestos!$C$10+Supuestos!$C$11)/J18-1)</f>
        <v>3063358843.28157</v>
      </c>
      <c r="K22" s="62" t="n">
        <f aca="false">K13*((Supuestos!$C$6+Supuestos!$C$8+Supuestos!$C$10+Supuestos!$C$11)/(Supuestos!$C$7+Supuestos!$C$9+Supuestos!$C$10+Supuestos!$C$11)/K18-1)</f>
        <v>3000878794.46113</v>
      </c>
      <c r="L22" s="62" t="n">
        <f aca="false">L13*((Supuestos!$C$6+Supuestos!$C$8+Supuestos!$C$10+Supuestos!$C$11)/(Supuestos!$C$7+Supuestos!$C$9+Supuestos!$C$10+Supuestos!$C$11)/L18-1)</f>
        <v>3063358843.28157</v>
      </c>
      <c r="M22" s="62" t="n">
        <f aca="false">M13*((Supuestos!$C$6+Supuestos!$C$8+Supuestos!$C$10+Supuestos!$C$11)/(Supuestos!$C$7+Supuestos!$C$9+Supuestos!$C$10+Supuestos!$C$11)/M18-1)</f>
        <v>3000878794.46113</v>
      </c>
      <c r="N22" s="62" t="n">
        <f aca="false">N13*((Supuestos!$C$6+Supuestos!$C$8+Supuestos!$C$10+Supuestos!$C$11)/(Supuestos!$C$7+Supuestos!$C$9+Supuestos!$C$10+Supuestos!$C$11)/N18-1)</f>
        <v>3138695693.98521</v>
      </c>
      <c r="O22" s="62" t="n">
        <f aca="false">O13*((Supuestos!$C$6+Supuestos!$C$8+Supuestos!$C$10+Supuestos!$C$11)/(Supuestos!$C$7+Supuestos!$C$9+Supuestos!$C$10+Supuestos!$C$11)/O18-1)</f>
        <v>3546642527.82536</v>
      </c>
      <c r="P22" s="62" t="n">
        <f aca="false">P13*((Supuestos!$C$6+Supuestos!$C$8+Supuestos!$C$10+Supuestos!$C$11)/(Supuestos!$C$7+Supuestos!$C$9+Supuestos!$C$10+Supuestos!$C$11)/P18-1)</f>
        <v>3038079489.6207</v>
      </c>
      <c r="Q22" s="62" t="n">
        <f aca="false">Q13*((Supuestos!$C$6+Supuestos!$C$8+Supuestos!$C$10+Supuestos!$C$11)/(Supuestos!$C$7+Supuestos!$C$9+Supuestos!$C$10+Supuestos!$C$11)/Q18-1)</f>
        <v>3185750257.52332</v>
      </c>
      <c r="R22" s="62" t="n">
        <f aca="false">R13*((Supuestos!$C$6+Supuestos!$C$8+Supuestos!$C$10+Supuestos!$C$11)/(Supuestos!$C$7+Supuestos!$C$9+Supuestos!$C$10+Supuestos!$C$11)/R18-1)</f>
        <v>3121662087.15683</v>
      </c>
      <c r="S22" s="62" t="n">
        <f aca="false">S13*((Supuestos!$C$6+Supuestos!$C$8+Supuestos!$C$10+Supuestos!$C$11)/(Supuestos!$C$7+Supuestos!$C$9+Supuestos!$C$10+Supuestos!$C$11)/S18-1)</f>
        <v>3057573916.79034</v>
      </c>
      <c r="T22" s="62" t="n">
        <f aca="false">T13*((Supuestos!$C$6+Supuestos!$C$8+Supuestos!$C$10+Supuestos!$C$11)/(Supuestos!$C$7+Supuestos!$C$9+Supuestos!$C$10+Supuestos!$C$11)/T18-1)</f>
        <v>3121662087.15683</v>
      </c>
      <c r="U22" s="62" t="n">
        <f aca="false">U13*((Supuestos!$C$6+Supuestos!$C$8+Supuestos!$C$10+Supuestos!$C$11)/(Supuestos!$C$7+Supuestos!$C$9+Supuestos!$C$10+Supuestos!$C$11)/U18-1)</f>
        <v>3185750257.52332</v>
      </c>
      <c r="V22" s="62" t="n">
        <f aca="false">V13*((Supuestos!$C$6+Supuestos!$C$8+Supuestos!$C$10+Supuestos!$C$11)/(Supuestos!$C$7+Supuestos!$C$9+Supuestos!$C$10+Supuestos!$C$11)/V18-1)</f>
        <v>3121662087.15683</v>
      </c>
      <c r="W22" s="62" t="n">
        <f aca="false">W13*((Supuestos!$C$6+Supuestos!$C$8+Supuestos!$C$10+Supuestos!$C$11)/(Supuestos!$C$7+Supuestos!$C$9+Supuestos!$C$10+Supuestos!$C$11)/W18-1)</f>
        <v>3057573916.79034</v>
      </c>
      <c r="X22" s="62" t="n">
        <f aca="false">X13*((Supuestos!$C$6+Supuestos!$C$8+Supuestos!$C$10+Supuestos!$C$11)/(Supuestos!$C$7+Supuestos!$C$9+Supuestos!$C$10+Supuestos!$C$11)/X18-1)</f>
        <v>3121662087.15683</v>
      </c>
      <c r="Y22" s="62" t="n">
        <f aca="false">Y13*((Supuestos!$C$6+Supuestos!$C$8+Supuestos!$C$10+Supuestos!$C$11)/(Supuestos!$C$7+Supuestos!$C$9+Supuestos!$C$10+Supuestos!$C$11)/Y18-1)</f>
        <v>3057573916.79034</v>
      </c>
      <c r="Z22" s="62" t="n">
        <f aca="false">Z13*((Supuestos!$C$6+Supuestos!$C$8+Supuestos!$C$10+Supuestos!$C$11)/(Supuestos!$C$7+Supuestos!$C$9+Supuestos!$C$10+Supuestos!$C$11)/Z18-1)</f>
        <v>3201102359.96571</v>
      </c>
      <c r="AA22" s="62" t="n">
        <f aca="false">AA13*((Supuestos!$C$6+Supuestos!$C$8+Supuestos!$C$10+Supuestos!$C$11)/(Supuestos!$C$7+Supuestos!$C$9+Supuestos!$C$10+Supuestos!$C$11)/AA18-1)</f>
        <v>3595766729.38924</v>
      </c>
      <c r="AB22" s="62" t="n">
        <f aca="false">AB13*((Supuestos!$C$6+Supuestos!$C$8+Supuestos!$C$10+Supuestos!$C$11)/(Supuestos!$C$7+Supuestos!$C$9+Supuestos!$C$10+Supuestos!$C$11)/AB18-1)</f>
        <v>3075882368.1678</v>
      </c>
      <c r="AC22" s="62" t="n">
        <f aca="false">AC13*((Supuestos!$C$6+Supuestos!$C$8+Supuestos!$C$10+Supuestos!$C$11)/(Supuestos!$C$7+Supuestos!$C$9+Supuestos!$C$10+Supuestos!$C$11)/AC18-1)</f>
        <v>3225451956.9634</v>
      </c>
      <c r="AD22" s="62" t="n">
        <f aca="false">AD13*((Supuestos!$C$6+Supuestos!$C$8+Supuestos!$C$10+Supuestos!$C$11)/(Supuestos!$C$7+Supuestos!$C$9+Supuestos!$C$10+Supuestos!$C$11)/AD18-1)</f>
        <v>3160240836.83802</v>
      </c>
      <c r="AE22" s="62" t="n">
        <f aca="false">AE13*((Supuestos!$C$6+Supuestos!$C$8+Supuestos!$C$10+Supuestos!$C$11)/(Supuestos!$C$7+Supuestos!$C$9+Supuestos!$C$10+Supuestos!$C$11)/AE18-1)</f>
        <v>3095029716.71265</v>
      </c>
      <c r="AF22" s="62" t="n">
        <f aca="false">AF13*((Supuestos!$C$6+Supuestos!$C$8+Supuestos!$C$10+Supuestos!$C$11)/(Supuestos!$C$7+Supuestos!$C$9+Supuestos!$C$10+Supuestos!$C$11)/AF18-1)</f>
        <v>3160240836.83802</v>
      </c>
      <c r="AG22" s="62" t="n">
        <f aca="false">AG13*((Supuestos!$C$6+Supuestos!$C$8+Supuestos!$C$10+Supuestos!$C$11)/(Supuestos!$C$7+Supuestos!$C$9+Supuestos!$C$10+Supuestos!$C$11)/AG18-1)</f>
        <v>3225451956.9634</v>
      </c>
      <c r="AH22" s="62" t="n">
        <f aca="false">AH13*((Supuestos!$C$6+Supuestos!$C$8+Supuestos!$C$10+Supuestos!$C$11)/(Supuestos!$C$7+Supuestos!$C$9+Supuestos!$C$10+Supuestos!$C$11)/AH18-1)</f>
        <v>3160240836.83802</v>
      </c>
      <c r="AI22" s="62" t="n">
        <f aca="false">AI13*((Supuestos!$C$6+Supuestos!$C$8+Supuestos!$C$10+Supuestos!$C$11)/(Supuestos!$C$7+Supuestos!$C$9+Supuestos!$C$10+Supuestos!$C$11)/AI18-1)</f>
        <v>3095029716.71265</v>
      </c>
      <c r="AJ22" s="62" t="n">
        <f aca="false">AJ13*((Supuestos!$C$6+Supuestos!$C$8+Supuestos!$C$10+Supuestos!$C$11)/(Supuestos!$C$7+Supuestos!$C$9+Supuestos!$C$10+Supuestos!$C$11)/AJ18-1)</f>
        <v>3160240836.83802</v>
      </c>
      <c r="AK22" s="62" t="n">
        <f aca="false">AK13*((Supuestos!$C$6+Supuestos!$C$8+Supuestos!$C$10+Supuestos!$C$11)/(Supuestos!$C$7+Supuestos!$C$9+Supuestos!$C$10+Supuestos!$C$11)/AK18-1)</f>
        <v>3095029716.71265</v>
      </c>
      <c r="AL22" s="62" t="n">
        <f aca="false">AL13*((Supuestos!$C$6+Supuestos!$C$8+Supuestos!$C$10+Supuestos!$C$11)/(Supuestos!$C$7+Supuestos!$C$9+Supuestos!$C$10+Supuestos!$C$11)/AL18-1)</f>
        <v>3242794705.72667</v>
      </c>
      <c r="AM22" s="62" t="n">
        <f aca="false">AM13*((Supuestos!$C$6+Supuestos!$C$8+Supuestos!$C$10+Supuestos!$C$11)/(Supuestos!$C$7+Supuestos!$C$9+Supuestos!$C$10+Supuestos!$C$11)/AM18-1)</f>
        <v>3634035360.37031</v>
      </c>
      <c r="AN22" s="62" t="n">
        <f aca="false">AN13*((Supuestos!$C$6+Supuestos!$C$8+Supuestos!$C$10+Supuestos!$C$11)/(Supuestos!$C$7+Supuestos!$C$9+Supuestos!$C$10+Supuestos!$C$11)/AN18-1)</f>
        <v>3104874031.73347</v>
      </c>
      <c r="AO22" s="62" t="n">
        <f aca="false">AO13*((Supuestos!$C$6+Supuestos!$C$8+Supuestos!$C$10+Supuestos!$C$11)/(Supuestos!$C$7+Supuestos!$C$9+Supuestos!$C$10+Supuestos!$C$11)/AO18-1)</f>
        <v>3255901690.1268</v>
      </c>
      <c r="AP22" s="62" t="n">
        <f aca="false">AP13*((Supuestos!$C$6+Supuestos!$C$8+Supuestos!$C$10+Supuestos!$C$11)/(Supuestos!$C$7+Supuestos!$C$9+Supuestos!$C$10+Supuestos!$C$11)/AP18-1)</f>
        <v>3189791806.81345</v>
      </c>
      <c r="AQ22" s="62" t="n">
        <f aca="false">AQ13*((Supuestos!$C$6+Supuestos!$C$8+Supuestos!$C$10+Supuestos!$C$11)/(Supuestos!$C$7+Supuestos!$C$9+Supuestos!$C$10+Supuestos!$C$11)/AQ18-1)</f>
        <v>3123681923.50011</v>
      </c>
      <c r="AR22" s="62" t="n">
        <f aca="false">AR13*((Supuestos!$C$6+Supuestos!$C$8+Supuestos!$C$10+Supuestos!$C$11)/(Supuestos!$C$7+Supuestos!$C$9+Supuestos!$C$10+Supuestos!$C$11)/AR18-1)</f>
        <v>3189791806.81345</v>
      </c>
      <c r="AS22" s="62" t="n">
        <f aca="false">AS13*((Supuestos!$C$6+Supuestos!$C$8+Supuestos!$C$10+Supuestos!$C$11)/(Supuestos!$C$7+Supuestos!$C$9+Supuestos!$C$10+Supuestos!$C$11)/AS18-1)</f>
        <v>3255901690.1268</v>
      </c>
      <c r="AT22" s="62" t="n">
        <f aca="false">AT13*((Supuestos!$C$6+Supuestos!$C$8+Supuestos!$C$10+Supuestos!$C$11)/(Supuestos!$C$7+Supuestos!$C$9+Supuestos!$C$10+Supuestos!$C$11)/AT18-1)</f>
        <v>3189791806.81345</v>
      </c>
      <c r="AU22" s="62" t="n">
        <f aca="false">AU13*((Supuestos!$C$6+Supuestos!$C$8+Supuestos!$C$10+Supuestos!$C$11)/(Supuestos!$C$7+Supuestos!$C$9+Supuestos!$C$10+Supuestos!$C$11)/AU18-1)</f>
        <v>3123681923.50011</v>
      </c>
      <c r="AV22" s="62" t="n">
        <f aca="false">AV13*((Supuestos!$C$6+Supuestos!$C$8+Supuestos!$C$10+Supuestos!$C$11)/(Supuestos!$C$7+Supuestos!$C$9+Supuestos!$C$10+Supuestos!$C$11)/AV18-1)</f>
        <v>3189791806.81345</v>
      </c>
      <c r="AW22" s="62" t="n">
        <f aca="false">AW13*((Supuestos!$C$6+Supuestos!$C$8+Supuestos!$C$10+Supuestos!$C$11)/(Supuestos!$C$7+Supuestos!$C$9+Supuestos!$C$10+Supuestos!$C$11)/AW18-1)</f>
        <v>3123681923.50011</v>
      </c>
      <c r="AX22" s="62" t="n">
        <f aca="false">AX13*((Supuestos!$C$6+Supuestos!$C$8+Supuestos!$C$10+Supuestos!$C$11)/(Supuestos!$C$7+Supuestos!$C$9+Supuestos!$C$10+Supuestos!$C$11)/AX18-1)</f>
        <v>3274991844.02353</v>
      </c>
      <c r="AY22" s="62" t="n">
        <f aca="false">AY13*((Supuestos!$C$6+Supuestos!$C$8+Supuestos!$C$10+Supuestos!$C$11)/(Supuestos!$C$7+Supuestos!$C$9+Supuestos!$C$10+Supuestos!$C$11)/AY18-1)</f>
        <v>3673073197.1772</v>
      </c>
      <c r="AZ22" s="62" t="n">
        <f aca="false">AZ13*((Supuestos!$C$6+Supuestos!$C$8+Supuestos!$C$10+Supuestos!$C$11)/(Supuestos!$C$7+Supuestos!$C$9+Supuestos!$C$10+Supuestos!$C$11)/AZ18-1)</f>
        <v>3134542985.27511</v>
      </c>
      <c r="BA22" s="62" t="n">
        <f aca="false">BA13*((Supuestos!$C$6+Supuestos!$C$8+Supuestos!$C$10+Supuestos!$C$11)/(Supuestos!$C$7+Supuestos!$C$9+Supuestos!$C$10+Supuestos!$C$11)/BA18-1)</f>
        <v>3287062391.40321</v>
      </c>
      <c r="BB22" s="62" t="n">
        <f aca="false">BB13*((Supuestos!$C$6+Supuestos!$C$8+Supuestos!$C$10+Supuestos!$C$11)/(Supuestos!$C$7+Supuestos!$C$9+Supuestos!$C$10+Supuestos!$C$11)/BB18-1)</f>
        <v>3220040633.06881</v>
      </c>
      <c r="BC22" s="62" t="n">
        <f aca="false">BC13*((Supuestos!$C$6+Supuestos!$C$8+Supuestos!$C$10+Supuestos!$C$11)/(Supuestos!$C$7+Supuestos!$C$9+Supuestos!$C$10+Supuestos!$C$11)/BC18-1)</f>
        <v>3153018874.7344</v>
      </c>
      <c r="BD22" s="62" t="n">
        <f aca="false">BD13*((Supuestos!$C$6+Supuestos!$C$8+Supuestos!$C$10+Supuestos!$C$11)/(Supuestos!$C$7+Supuestos!$C$9+Supuestos!$C$10+Supuestos!$C$11)/BD18-1)</f>
        <v>3220040633.06881</v>
      </c>
      <c r="BE22" s="62" t="n">
        <f aca="false">BE13*((Supuestos!$C$6+Supuestos!$C$8+Supuestos!$C$10+Supuestos!$C$11)/(Supuestos!$C$7+Supuestos!$C$9+Supuestos!$C$10+Supuestos!$C$11)/BE18-1)</f>
        <v>3287062391.40321</v>
      </c>
      <c r="BF22" s="62" t="n">
        <f aca="false">BF13*((Supuestos!$C$6+Supuestos!$C$8+Supuestos!$C$10+Supuestos!$C$11)/(Supuestos!$C$7+Supuestos!$C$9+Supuestos!$C$10+Supuestos!$C$11)/BF18-1)</f>
        <v>3220040633.06881</v>
      </c>
      <c r="BG22" s="62" t="n">
        <f aca="false">BG13*((Supuestos!$C$6+Supuestos!$C$8+Supuestos!$C$10+Supuestos!$C$11)/(Supuestos!$C$7+Supuestos!$C$9+Supuestos!$C$10+Supuestos!$C$11)/BG18-1)</f>
        <v>3153018874.7344</v>
      </c>
      <c r="BH22" s="62" t="n">
        <f aca="false">BH13*((Supuestos!$C$6+Supuestos!$C$8+Supuestos!$C$10+Supuestos!$C$11)/(Supuestos!$C$7+Supuestos!$C$9+Supuestos!$C$10+Supuestos!$C$11)/BH18-1)</f>
        <v>3220040633.06881</v>
      </c>
      <c r="BI22" s="62" t="n">
        <f aca="false">BI13*((Supuestos!$C$6+Supuestos!$C$8+Supuestos!$C$10+Supuestos!$C$11)/(Supuestos!$C$7+Supuestos!$C$9+Supuestos!$C$10+Supuestos!$C$11)/BI18-1)</f>
        <v>3153018874.7344</v>
      </c>
      <c r="BJ22" s="62" t="n">
        <f aca="false">BJ13*((Supuestos!$C$6+Supuestos!$C$8+Supuestos!$C$10+Supuestos!$C$11)/(Supuestos!$C$7+Supuestos!$C$9+Supuestos!$C$10+Supuestos!$C$11)/BJ18-1)</f>
        <v>3307894426.08938</v>
      </c>
      <c r="BK22" s="62" t="n">
        <f aca="false">BK13*((Supuestos!$C$6+Supuestos!$C$8+Supuestos!$C$10+Supuestos!$C$11)/(Supuestos!$C$7+Supuestos!$C$9+Supuestos!$C$10+Supuestos!$C$11)/BK18-1)</f>
        <v>3713443511.65182</v>
      </c>
      <c r="BL22" s="62" t="n">
        <f aca="false">BL13*((Supuestos!$C$6+Supuestos!$C$8+Supuestos!$C$10+Supuestos!$C$11)/(Supuestos!$C$7+Supuestos!$C$9+Supuestos!$C$10+Supuestos!$C$11)/BL18-1)</f>
        <v>3165347958.44516</v>
      </c>
      <c r="BM22" s="62" t="n">
        <f aca="false">BM13*((Supuestos!$C$6+Supuestos!$C$8+Supuestos!$C$10+Supuestos!$C$11)/(Supuestos!$C$7+Supuestos!$C$9+Supuestos!$C$10+Supuestos!$C$11)/BM18-1)</f>
        <v>3319415731.02017</v>
      </c>
      <c r="BN22" s="62" t="n">
        <f aca="false">BN13*((Supuestos!$C$6+Supuestos!$C$8+Supuestos!$C$10+Supuestos!$C$11)/(Supuestos!$C$7+Supuestos!$C$9+Supuestos!$C$10+Supuestos!$C$11)/BN18-1)</f>
        <v>3251457433.69397</v>
      </c>
      <c r="BO22" s="62" t="n">
        <f aca="false">BO13*((Supuestos!$C$6+Supuestos!$C$8+Supuestos!$C$10+Supuestos!$C$11)/(Supuestos!$C$7+Supuestos!$C$9+Supuestos!$C$10+Supuestos!$C$11)/BO18-1)</f>
        <v>3183499136.36777</v>
      </c>
      <c r="BP22" s="62" t="n">
        <f aca="false">BP13*((Supuestos!$C$6+Supuestos!$C$8+Supuestos!$C$10+Supuestos!$C$11)/(Supuestos!$C$7+Supuestos!$C$9+Supuestos!$C$10+Supuestos!$C$11)/BP18-1)</f>
        <v>3251457433.69397</v>
      </c>
      <c r="BQ22" s="62" t="n">
        <f aca="false">BQ13*((Supuestos!$C$6+Supuestos!$C$8+Supuestos!$C$10+Supuestos!$C$11)/(Supuestos!$C$7+Supuestos!$C$9+Supuestos!$C$10+Supuestos!$C$11)/BQ18-1)</f>
        <v>3319415731.02017</v>
      </c>
      <c r="BR22" s="62" t="n">
        <f aca="false">BR13*((Supuestos!$C$6+Supuestos!$C$8+Supuestos!$C$10+Supuestos!$C$11)/(Supuestos!$C$7+Supuestos!$C$9+Supuestos!$C$10+Supuestos!$C$11)/BR18-1)</f>
        <v>3251457433.69397</v>
      </c>
      <c r="BS22" s="62" t="n">
        <f aca="false">BS13*((Supuestos!$C$6+Supuestos!$C$8+Supuestos!$C$10+Supuestos!$C$11)/(Supuestos!$C$7+Supuestos!$C$9+Supuestos!$C$10+Supuestos!$C$11)/BS18-1)</f>
        <v>3183499136.36777</v>
      </c>
      <c r="BT22" s="62" t="n">
        <f aca="false">BT13*((Supuestos!$C$6+Supuestos!$C$8+Supuestos!$C$10+Supuestos!$C$11)/(Supuestos!$C$7+Supuestos!$C$9+Supuestos!$C$10+Supuestos!$C$11)/BT18-1)</f>
        <v>3251457433.69397</v>
      </c>
      <c r="BU22" s="62" t="n">
        <f aca="false">BU13*((Supuestos!$C$6+Supuestos!$C$8+Supuestos!$C$10+Supuestos!$C$11)/(Supuestos!$C$7+Supuestos!$C$9+Supuestos!$C$10+Supuestos!$C$11)/BU18-1)</f>
        <v>3183499136.36777</v>
      </c>
      <c r="BV22" s="62" t="n">
        <f aca="false">BV13*((Supuestos!$C$6+Supuestos!$C$8+Supuestos!$C$10+Supuestos!$C$11)/(Supuestos!$C$7+Supuestos!$C$9+Supuestos!$C$10+Supuestos!$C$11)/BV18-1)</f>
        <v>3341996083.53984</v>
      </c>
      <c r="BW22" s="62" t="n">
        <f aca="false">BW13*((Supuestos!$C$6+Supuestos!$C$8+Supuestos!$C$10+Supuestos!$C$11)/(Supuestos!$C$7+Supuestos!$C$9+Supuestos!$C$10+Supuestos!$C$11)/BW18-1)</f>
        <v>3755159742.68159</v>
      </c>
      <c r="BX22" s="62" t="n">
        <f aca="false">BX13*((Supuestos!$C$6+Supuestos!$C$8+Supuestos!$C$10+Supuestos!$C$11)/(Supuestos!$C$7+Supuestos!$C$9+Supuestos!$C$10+Supuestos!$C$11)/BX18-1)</f>
        <v>3197298861.4746</v>
      </c>
      <c r="BY22" s="62" t="n">
        <f aca="false">BY13*((Supuestos!$C$6+Supuestos!$C$8+Supuestos!$C$10+Supuestos!$C$11)/(Supuestos!$C$7+Supuestos!$C$9+Supuestos!$C$10+Supuestos!$C$11)/BY18-1)</f>
        <v>3352972118.72287</v>
      </c>
      <c r="BZ22" s="62" t="n">
        <f aca="false">BZ13*((Supuestos!$C$6+Supuestos!$C$8+Supuestos!$C$10+Supuestos!$C$11)/(Supuestos!$C$7+Supuestos!$C$9+Supuestos!$C$10+Supuestos!$C$11)/BZ18-1)</f>
        <v>3284052288.62438</v>
      </c>
      <c r="CA22" s="62" t="n">
        <f aca="false">CA13*((Supuestos!$C$6+Supuestos!$C$8+Supuestos!$C$10+Supuestos!$C$11)/(Supuestos!$C$7+Supuestos!$C$9+Supuestos!$C$10+Supuestos!$C$11)/CA18-1)</f>
        <v>3215132458.52588</v>
      </c>
      <c r="CB22" s="62" t="n">
        <f aca="false">CB13*((Supuestos!$C$6+Supuestos!$C$8+Supuestos!$C$10+Supuestos!$C$11)/(Supuestos!$C$7+Supuestos!$C$9+Supuestos!$C$10+Supuestos!$C$11)/CB18-1)</f>
        <v>3284052288.62438</v>
      </c>
      <c r="CC22" s="62" t="n">
        <f aca="false">CC13*((Supuestos!$C$6+Supuestos!$C$8+Supuestos!$C$10+Supuestos!$C$11)/(Supuestos!$C$7+Supuestos!$C$9+Supuestos!$C$10+Supuestos!$C$11)/CC18-1)</f>
        <v>3352972118.72287</v>
      </c>
      <c r="CD22" s="62" t="n">
        <f aca="false">CD13*((Supuestos!$C$6+Supuestos!$C$8+Supuestos!$C$10+Supuestos!$C$11)/(Supuestos!$C$7+Supuestos!$C$9+Supuestos!$C$10+Supuestos!$C$11)/CD18-1)</f>
        <v>3284052288.62438</v>
      </c>
      <c r="CE22" s="62" t="n">
        <f aca="false">CE13*((Supuestos!$C$6+Supuestos!$C$8+Supuestos!$C$10+Supuestos!$C$11)/(Supuestos!$C$7+Supuestos!$C$9+Supuestos!$C$10+Supuestos!$C$11)/CE18-1)</f>
        <v>3215132458.52588</v>
      </c>
      <c r="CF22" s="62" t="n">
        <f aca="false">CF13*((Supuestos!$C$6+Supuestos!$C$8+Supuestos!$C$10+Supuestos!$C$11)/(Supuestos!$C$7+Supuestos!$C$9+Supuestos!$C$10+Supuestos!$C$11)/CF18-1)</f>
        <v>3284052288.62438</v>
      </c>
      <c r="CG22" s="62" t="n">
        <f aca="false">CG13*((Supuestos!$C$6+Supuestos!$C$8+Supuestos!$C$10+Supuestos!$C$11)/(Supuestos!$C$7+Supuestos!$C$9+Supuestos!$C$10+Supuestos!$C$11)/CG18-1)</f>
        <v>3215132458.52588</v>
      </c>
      <c r="CH22" s="62" t="n">
        <f aca="false">CH13*((Supuestos!$C$6+Supuestos!$C$8+Supuestos!$C$10+Supuestos!$C$11)/(Supuestos!$C$7+Supuestos!$C$9+Supuestos!$C$10+Supuestos!$C$11)/CH18-1)</f>
        <v>3377307956.19317</v>
      </c>
      <c r="CI22" s="62" t="n">
        <f aca="false">CI13*((Supuestos!$C$6+Supuestos!$C$8+Supuestos!$C$10+Supuestos!$C$11)/(Supuestos!$C$7+Supuestos!$C$9+Supuestos!$C$10+Supuestos!$C$11)/CI18-1)</f>
        <v>3798235866.68786</v>
      </c>
      <c r="CJ22" s="62" t="n">
        <f aca="false">CJ13*((Supuestos!$C$6+Supuestos!$C$8+Supuestos!$C$10+Supuestos!$C$11)/(Supuestos!$C$7+Supuestos!$C$9+Supuestos!$C$10+Supuestos!$C$11)/CJ18-1)</f>
        <v>3230406066.68161</v>
      </c>
      <c r="CK22" s="62" t="n">
        <f aca="false">CK13*((Supuestos!$C$6+Supuestos!$C$8+Supuestos!$C$10+Supuestos!$C$11)/(Supuestos!$C$7+Supuestos!$C$9+Supuestos!$C$10+Supuestos!$C$11)/CK18-1)</f>
        <v>3387742449.36011</v>
      </c>
      <c r="CL22" s="62" t="n">
        <f aca="false">CL13*((Supuestos!$C$6+Supuestos!$C$8+Supuestos!$C$10+Supuestos!$C$11)/(Supuestos!$C$7+Supuestos!$C$9+Supuestos!$C$10+Supuestos!$C$11)/CL18-1)</f>
        <v>3317835753.1488</v>
      </c>
      <c r="CM22" s="62" t="n">
        <f aca="false">CM13*((Supuestos!$C$6+Supuestos!$C$8+Supuestos!$C$10+Supuestos!$C$11)/(Supuestos!$C$7+Supuestos!$C$9+Supuestos!$C$10+Supuestos!$C$11)/CM18-1)</f>
        <v>3247929056.93749</v>
      </c>
      <c r="CN22" s="62" t="n">
        <f aca="false">CN13*((Supuestos!$C$6+Supuestos!$C$8+Supuestos!$C$10+Supuestos!$C$11)/(Supuestos!$C$7+Supuestos!$C$9+Supuestos!$C$10+Supuestos!$C$11)/CN18-1)</f>
        <v>3317835753.1488</v>
      </c>
      <c r="CO22" s="62" t="n">
        <f aca="false">CO13*((Supuestos!$C$6+Supuestos!$C$8+Supuestos!$C$10+Supuestos!$C$11)/(Supuestos!$C$7+Supuestos!$C$9+Supuestos!$C$10+Supuestos!$C$11)/CO18-1)</f>
        <v>3387742449.36011</v>
      </c>
      <c r="CP22" s="62" t="n">
        <f aca="false">CP13*((Supuestos!$C$6+Supuestos!$C$8+Supuestos!$C$10+Supuestos!$C$11)/(Supuestos!$C$7+Supuestos!$C$9+Supuestos!$C$10+Supuestos!$C$11)/CP18-1)</f>
        <v>3317835753.1488</v>
      </c>
      <c r="CQ22" s="62" t="n">
        <f aca="false">CQ13*((Supuestos!$C$6+Supuestos!$C$8+Supuestos!$C$10+Supuestos!$C$11)/(Supuestos!$C$7+Supuestos!$C$9+Supuestos!$C$10+Supuestos!$C$11)/CQ18-1)</f>
        <v>3247929056.93749</v>
      </c>
      <c r="CR22" s="62" t="n">
        <f aca="false">CR13*((Supuestos!$C$6+Supuestos!$C$8+Supuestos!$C$10+Supuestos!$C$11)/(Supuestos!$C$7+Supuestos!$C$9+Supuestos!$C$10+Supuestos!$C$11)/CR18-1)</f>
        <v>3317835753.1488</v>
      </c>
      <c r="CS22" s="62" t="n">
        <f aca="false">CS13*((Supuestos!$C$6+Supuestos!$C$8+Supuestos!$C$10+Supuestos!$C$11)/(Supuestos!$C$7+Supuestos!$C$9+Supuestos!$C$10+Supuestos!$C$11)/CS18-1)</f>
        <v>3247929056.93749</v>
      </c>
      <c r="CT22" s="62" t="n">
        <f aca="false">CT13*((Supuestos!$C$6+Supuestos!$C$8+Supuestos!$C$10+Supuestos!$C$11)/(Supuestos!$C$7+Supuestos!$C$9+Supuestos!$C$10+Supuestos!$C$11)/CT18-1)</f>
        <v>3413841669.93173</v>
      </c>
    </row>
    <row r="23" customFormat="false" ht="15" hidden="false" customHeight="true" outlineLevel="0" collapsed="false">
      <c r="A23" s="2"/>
      <c r="B23" s="61" t="s">
        <v>563</v>
      </c>
      <c r="C23" s="63" t="n">
        <f aca="false">IFERROR(C13/(C13+C22),0)</f>
        <v>0.893239579555475</v>
      </c>
      <c r="D23" s="63" t="n">
        <f aca="false">IFERROR(D13/(D13+D22),0)</f>
        <v>0.893239579555475</v>
      </c>
      <c r="E23" s="63" t="n">
        <f aca="false">IFERROR(E13/(E13+E22),0)</f>
        <v>0.893239579555475</v>
      </c>
      <c r="F23" s="63" t="n">
        <f aca="false">IFERROR(F13/(F13+F22),0)</f>
        <v>0.893239579555475</v>
      </c>
      <c r="G23" s="63" t="n">
        <f aca="false">IFERROR(G13/(G13+G22),0)</f>
        <v>0.893239579555475</v>
      </c>
      <c r="H23" s="63" t="n">
        <f aca="false">IFERROR(H13/(H13+H22),0)</f>
        <v>0.893239579555475</v>
      </c>
      <c r="I23" s="63" t="n">
        <f aca="false">IFERROR(I13/(I13+I22),0)</f>
        <v>0.893239579555475</v>
      </c>
      <c r="J23" s="63" t="n">
        <f aca="false">IFERROR(J13/(J13+J22),0)</f>
        <v>0.893239579555475</v>
      </c>
      <c r="K23" s="63" t="n">
        <f aca="false">IFERROR(K13/(K13+K22),0)</f>
        <v>0.893239579555475</v>
      </c>
      <c r="L23" s="63" t="n">
        <f aca="false">IFERROR(L13/(L13+L22),0)</f>
        <v>0.893239579555475</v>
      </c>
      <c r="M23" s="63" t="n">
        <f aca="false">IFERROR(M13/(M13+M22),0)</f>
        <v>0.893239579555475</v>
      </c>
      <c r="N23" s="63" t="n">
        <f aca="false">IFERROR(N13/(N13+N22),0)</f>
        <v>0.893239579555475</v>
      </c>
      <c r="O23" s="63" t="n">
        <f aca="false">IFERROR(O13/(O13+O22),0)</f>
        <v>0.893239579555475</v>
      </c>
      <c r="P23" s="63" t="n">
        <f aca="false">IFERROR(P13/(P13+P22),0)</f>
        <v>0.893239579555475</v>
      </c>
      <c r="Q23" s="63" t="n">
        <f aca="false">IFERROR(Q13/(Q13+Q22),0)</f>
        <v>0.893239579555475</v>
      </c>
      <c r="R23" s="63" t="n">
        <f aca="false">IFERROR(R13/(R13+R22),0)</f>
        <v>0.893239579555475</v>
      </c>
      <c r="S23" s="63" t="n">
        <f aca="false">IFERROR(S13/(S13+S22),0)</f>
        <v>0.893239579555475</v>
      </c>
      <c r="T23" s="63" t="n">
        <f aca="false">IFERROR(T13/(T13+T22),0)</f>
        <v>0.893239579555475</v>
      </c>
      <c r="U23" s="63" t="n">
        <f aca="false">IFERROR(U13/(U13+U22),0)</f>
        <v>0.893239579555475</v>
      </c>
      <c r="V23" s="63" t="n">
        <f aca="false">IFERROR(V13/(V13+V22),0)</f>
        <v>0.893239579555475</v>
      </c>
      <c r="W23" s="63" t="n">
        <f aca="false">IFERROR(W13/(W13+W22),0)</f>
        <v>0.893239579555475</v>
      </c>
      <c r="X23" s="63" t="n">
        <f aca="false">IFERROR(X13/(X13+X22),0)</f>
        <v>0.893239579555475</v>
      </c>
      <c r="Y23" s="63" t="n">
        <f aca="false">IFERROR(Y13/(Y13+Y22),0)</f>
        <v>0.893239579555475</v>
      </c>
      <c r="Z23" s="63" t="n">
        <f aca="false">IFERROR(Z13/(Z13+Z22),0)</f>
        <v>0.893239579555475</v>
      </c>
      <c r="AA23" s="63" t="n">
        <f aca="false">IFERROR(AA13/(AA13+AA22),0)</f>
        <v>0.893239579555475</v>
      </c>
      <c r="AB23" s="63" t="n">
        <f aca="false">IFERROR(AB13/(AB13+AB22),0)</f>
        <v>0.893239579555475</v>
      </c>
      <c r="AC23" s="63" t="n">
        <f aca="false">IFERROR(AC13/(AC13+AC22),0)</f>
        <v>0.893239579555475</v>
      </c>
      <c r="AD23" s="63" t="n">
        <f aca="false">IFERROR(AD13/(AD13+AD22),0)</f>
        <v>0.893239579555475</v>
      </c>
      <c r="AE23" s="63" t="n">
        <f aca="false">IFERROR(AE13/(AE13+AE22),0)</f>
        <v>0.893239579555475</v>
      </c>
      <c r="AF23" s="63" t="n">
        <f aca="false">IFERROR(AF13/(AF13+AF22),0)</f>
        <v>0.893239579555475</v>
      </c>
      <c r="AG23" s="63" t="n">
        <f aca="false">IFERROR(AG13/(AG13+AG22),0)</f>
        <v>0.893239579555475</v>
      </c>
      <c r="AH23" s="63" t="n">
        <f aca="false">IFERROR(AH13/(AH13+AH22),0)</f>
        <v>0.893239579555475</v>
      </c>
      <c r="AI23" s="63" t="n">
        <f aca="false">IFERROR(AI13/(AI13+AI22),0)</f>
        <v>0.893239579555475</v>
      </c>
      <c r="AJ23" s="63" t="n">
        <f aca="false">IFERROR(AJ13/(AJ13+AJ22),0)</f>
        <v>0.893239579555475</v>
      </c>
      <c r="AK23" s="63" t="n">
        <f aca="false">IFERROR(AK13/(AK13+AK22),0)</f>
        <v>0.893239579555475</v>
      </c>
      <c r="AL23" s="63" t="n">
        <f aca="false">IFERROR(AL13/(AL13+AL22),0)</f>
        <v>0.893239579555475</v>
      </c>
      <c r="AM23" s="63" t="n">
        <f aca="false">IFERROR(AM13/(AM13+AM22),0)</f>
        <v>0.893239579555475</v>
      </c>
      <c r="AN23" s="63" t="n">
        <f aca="false">IFERROR(AN13/(AN13+AN22),0)</f>
        <v>0.893239579555475</v>
      </c>
      <c r="AO23" s="63" t="n">
        <f aca="false">IFERROR(AO13/(AO13+AO22),0)</f>
        <v>0.893239579555475</v>
      </c>
      <c r="AP23" s="63" t="n">
        <f aca="false">IFERROR(AP13/(AP13+AP22),0)</f>
        <v>0.893239579555475</v>
      </c>
      <c r="AQ23" s="63" t="n">
        <f aca="false">IFERROR(AQ13/(AQ13+AQ22),0)</f>
        <v>0.893239579555475</v>
      </c>
      <c r="AR23" s="63" t="n">
        <f aca="false">IFERROR(AR13/(AR13+AR22),0)</f>
        <v>0.893239579555475</v>
      </c>
      <c r="AS23" s="63" t="n">
        <f aca="false">IFERROR(AS13/(AS13+AS22),0)</f>
        <v>0.893239579555475</v>
      </c>
      <c r="AT23" s="63" t="n">
        <f aca="false">IFERROR(AT13/(AT13+AT22),0)</f>
        <v>0.893239579555475</v>
      </c>
      <c r="AU23" s="63" t="n">
        <f aca="false">IFERROR(AU13/(AU13+AU22),0)</f>
        <v>0.893239579555475</v>
      </c>
      <c r="AV23" s="63" t="n">
        <f aca="false">IFERROR(AV13/(AV13+AV22),0)</f>
        <v>0.893239579555475</v>
      </c>
      <c r="AW23" s="63" t="n">
        <f aca="false">IFERROR(AW13/(AW13+AW22),0)</f>
        <v>0.893239579555475</v>
      </c>
      <c r="AX23" s="63" t="n">
        <f aca="false">IFERROR(AX13/(AX13+AX22),0)</f>
        <v>0.893239579555475</v>
      </c>
      <c r="AY23" s="63" t="n">
        <f aca="false">IFERROR(AY13/(AY13+AY22),0)</f>
        <v>0.893239579555475</v>
      </c>
      <c r="AZ23" s="63" t="n">
        <f aca="false">IFERROR(AZ13/(AZ13+AZ22),0)</f>
        <v>0.893239579555475</v>
      </c>
      <c r="BA23" s="63" t="n">
        <f aca="false">IFERROR(BA13/(BA13+BA22),0)</f>
        <v>0.893239579555475</v>
      </c>
      <c r="BB23" s="63" t="n">
        <f aca="false">IFERROR(BB13/(BB13+BB22),0)</f>
        <v>0.893239579555475</v>
      </c>
      <c r="BC23" s="63" t="n">
        <f aca="false">IFERROR(BC13/(BC13+BC22),0)</f>
        <v>0.893239579555475</v>
      </c>
      <c r="BD23" s="63" t="n">
        <f aca="false">IFERROR(BD13/(BD13+BD22),0)</f>
        <v>0.893239579555475</v>
      </c>
      <c r="BE23" s="63" t="n">
        <f aca="false">IFERROR(BE13/(BE13+BE22),0)</f>
        <v>0.893239579555475</v>
      </c>
      <c r="BF23" s="63" t="n">
        <f aca="false">IFERROR(BF13/(BF13+BF22),0)</f>
        <v>0.893239579555475</v>
      </c>
      <c r="BG23" s="63" t="n">
        <f aca="false">IFERROR(BG13/(BG13+BG22),0)</f>
        <v>0.893239579555475</v>
      </c>
      <c r="BH23" s="63" t="n">
        <f aca="false">IFERROR(BH13/(BH13+BH22),0)</f>
        <v>0.893239579555475</v>
      </c>
      <c r="BI23" s="63" t="n">
        <f aca="false">IFERROR(BI13/(BI13+BI22),0)</f>
        <v>0.893239579555475</v>
      </c>
      <c r="BJ23" s="63" t="n">
        <f aca="false">IFERROR(BJ13/(BJ13+BJ22),0)</f>
        <v>0.893239579555475</v>
      </c>
      <c r="BK23" s="63" t="n">
        <f aca="false">IFERROR(BK13/(BK13+BK22),0)</f>
        <v>0.893239579555475</v>
      </c>
      <c r="BL23" s="63" t="n">
        <f aca="false">IFERROR(BL13/(BL13+BL22),0)</f>
        <v>0.893239579555475</v>
      </c>
      <c r="BM23" s="63" t="n">
        <f aca="false">IFERROR(BM13/(BM13+BM22),0)</f>
        <v>0.893239579555475</v>
      </c>
      <c r="BN23" s="63" t="n">
        <f aca="false">IFERROR(BN13/(BN13+BN22),0)</f>
        <v>0.893239579555475</v>
      </c>
      <c r="BO23" s="63" t="n">
        <f aca="false">IFERROR(BO13/(BO13+BO22),0)</f>
        <v>0.893239579555475</v>
      </c>
      <c r="BP23" s="63" t="n">
        <f aca="false">IFERROR(BP13/(BP13+BP22),0)</f>
        <v>0.893239579555475</v>
      </c>
      <c r="BQ23" s="63" t="n">
        <f aca="false">IFERROR(BQ13/(BQ13+BQ22),0)</f>
        <v>0.893239579555475</v>
      </c>
      <c r="BR23" s="63" t="n">
        <f aca="false">IFERROR(BR13/(BR13+BR22),0)</f>
        <v>0.893239579555475</v>
      </c>
      <c r="BS23" s="63" t="n">
        <f aca="false">IFERROR(BS13/(BS13+BS22),0)</f>
        <v>0.893239579555475</v>
      </c>
      <c r="BT23" s="63" t="n">
        <f aca="false">IFERROR(BT13/(BT13+BT22),0)</f>
        <v>0.893239579555475</v>
      </c>
      <c r="BU23" s="63" t="n">
        <f aca="false">IFERROR(BU13/(BU13+BU22),0)</f>
        <v>0.893239579555475</v>
      </c>
      <c r="BV23" s="63" t="n">
        <f aca="false">IFERROR(BV13/(BV13+BV22),0)</f>
        <v>0.893239579555475</v>
      </c>
      <c r="BW23" s="63" t="n">
        <f aca="false">IFERROR(BW13/(BW13+BW22),0)</f>
        <v>0.893239579555475</v>
      </c>
      <c r="BX23" s="63" t="n">
        <f aca="false">IFERROR(BX13/(BX13+BX22),0)</f>
        <v>0.893239579555475</v>
      </c>
      <c r="BY23" s="63" t="n">
        <f aca="false">IFERROR(BY13/(BY13+BY22),0)</f>
        <v>0.893239579555475</v>
      </c>
      <c r="BZ23" s="63" t="n">
        <f aca="false">IFERROR(BZ13/(BZ13+BZ22),0)</f>
        <v>0.893239579555475</v>
      </c>
      <c r="CA23" s="63" t="n">
        <f aca="false">IFERROR(CA13/(CA13+CA22),0)</f>
        <v>0.893239579555475</v>
      </c>
      <c r="CB23" s="63" t="n">
        <f aca="false">IFERROR(CB13/(CB13+CB22),0)</f>
        <v>0.893239579555475</v>
      </c>
      <c r="CC23" s="63" t="n">
        <f aca="false">IFERROR(CC13/(CC13+CC22),0)</f>
        <v>0.893239579555475</v>
      </c>
      <c r="CD23" s="63" t="n">
        <f aca="false">IFERROR(CD13/(CD13+CD22),0)</f>
        <v>0.893239579555475</v>
      </c>
      <c r="CE23" s="63" t="n">
        <f aca="false">IFERROR(CE13/(CE13+CE22),0)</f>
        <v>0.893239579555475</v>
      </c>
      <c r="CF23" s="63" t="n">
        <f aca="false">IFERROR(CF13/(CF13+CF22),0)</f>
        <v>0.893239579555475</v>
      </c>
      <c r="CG23" s="63" t="n">
        <f aca="false">IFERROR(CG13/(CG13+CG22),0)</f>
        <v>0.893239579555475</v>
      </c>
      <c r="CH23" s="63" t="n">
        <f aca="false">IFERROR(CH13/(CH13+CH22),0)</f>
        <v>0.893239579555475</v>
      </c>
      <c r="CI23" s="63" t="n">
        <f aca="false">IFERROR(CI13/(CI13+CI22),0)</f>
        <v>0.893239579555475</v>
      </c>
      <c r="CJ23" s="63" t="n">
        <f aca="false">IFERROR(CJ13/(CJ13+CJ22),0)</f>
        <v>0.893239579555475</v>
      </c>
      <c r="CK23" s="63" t="n">
        <f aca="false">IFERROR(CK13/(CK13+CK22),0)</f>
        <v>0.893239579555475</v>
      </c>
      <c r="CL23" s="63" t="n">
        <f aca="false">IFERROR(CL13/(CL13+CL22),0)</f>
        <v>0.893239579555475</v>
      </c>
      <c r="CM23" s="63" t="n">
        <f aca="false">IFERROR(CM13/(CM13+CM22),0)</f>
        <v>0.893239579555475</v>
      </c>
      <c r="CN23" s="63" t="n">
        <f aca="false">IFERROR(CN13/(CN13+CN22),0)</f>
        <v>0.893239579555475</v>
      </c>
      <c r="CO23" s="63" t="n">
        <f aca="false">IFERROR(CO13/(CO13+CO22),0)</f>
        <v>0.893239579555475</v>
      </c>
      <c r="CP23" s="63" t="n">
        <f aca="false">IFERROR(CP13/(CP13+CP22),0)</f>
        <v>0.893239579555475</v>
      </c>
      <c r="CQ23" s="63" t="n">
        <f aca="false">IFERROR(CQ13/(CQ13+CQ22),0)</f>
        <v>0.893239579555475</v>
      </c>
      <c r="CR23" s="63" t="n">
        <f aca="false">IFERROR(CR13/(CR13+CR22),0)</f>
        <v>0.893239579555475</v>
      </c>
      <c r="CS23" s="63" t="n">
        <f aca="false">IFERROR(CS13/(CS13+CS22),0)</f>
        <v>0.893239579555475</v>
      </c>
      <c r="CT23" s="63" t="n">
        <f aca="false">IFERROR(CT13/(CT13+CT22),0)</f>
        <v>0.893239579555475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T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98" min="3" style="1" width="11"/>
  </cols>
  <sheetData>
    <row r="2" customFormat="false" ht="15.75" hidden="false" customHeight="true" outlineLevel="0" collapsed="false">
      <c r="B2" s="16" t="s">
        <v>564</v>
      </c>
    </row>
    <row r="3" customFormat="false" ht="15" hidden="false" customHeight="true" outlineLevel="0" collapsed="false">
      <c r="B3" s="4" t="s">
        <v>565</v>
      </c>
    </row>
    <row r="5" customFormat="false" ht="15" hidden="false" customHeight="true" outlineLevel="0" collapsed="false">
      <c r="B5" s="52" t="s">
        <v>541</v>
      </c>
      <c r="C5" s="52" t="s">
        <v>542</v>
      </c>
      <c r="D5" s="53"/>
      <c r="E5" s="53"/>
      <c r="F5" s="53"/>
      <c r="G5" s="53"/>
      <c r="H5" s="53"/>
      <c r="I5" s="53"/>
      <c r="J5" s="53"/>
      <c r="K5" s="53"/>
      <c r="L5" s="53"/>
      <c r="M5" s="53"/>
      <c r="N5" s="53"/>
      <c r="O5" s="52" t="s">
        <v>543</v>
      </c>
      <c r="P5" s="53"/>
      <c r="Q5" s="53"/>
      <c r="R5" s="53"/>
      <c r="S5" s="53"/>
      <c r="T5" s="53"/>
      <c r="U5" s="53"/>
      <c r="V5" s="53"/>
      <c r="W5" s="53"/>
      <c r="X5" s="53"/>
      <c r="Y5" s="53"/>
      <c r="Z5" s="53"/>
      <c r="AA5" s="52" t="s">
        <v>544</v>
      </c>
      <c r="AB5" s="53"/>
      <c r="AC5" s="53"/>
      <c r="AD5" s="53"/>
      <c r="AE5" s="53"/>
      <c r="AF5" s="53"/>
      <c r="AG5" s="53"/>
      <c r="AH5" s="53"/>
      <c r="AI5" s="53"/>
      <c r="AJ5" s="53"/>
      <c r="AK5" s="53"/>
      <c r="AL5" s="53"/>
      <c r="AM5" s="52" t="s">
        <v>545</v>
      </c>
      <c r="AN5" s="53"/>
      <c r="AO5" s="53"/>
      <c r="AP5" s="53"/>
      <c r="AQ5" s="53"/>
      <c r="AR5" s="53"/>
      <c r="AS5" s="53"/>
      <c r="AT5" s="53"/>
      <c r="AU5" s="53"/>
      <c r="AV5" s="53"/>
      <c r="AW5" s="53"/>
      <c r="AX5" s="53"/>
      <c r="AY5" s="52" t="s">
        <v>546</v>
      </c>
      <c r="AZ5" s="53"/>
      <c r="BA5" s="53"/>
      <c r="BB5" s="53"/>
      <c r="BC5" s="53"/>
      <c r="BD5" s="53"/>
      <c r="BE5" s="53"/>
      <c r="BF5" s="53"/>
      <c r="BG5" s="53"/>
      <c r="BH5" s="53"/>
      <c r="BI5" s="53"/>
      <c r="BJ5" s="53"/>
      <c r="BK5" s="52" t="s">
        <v>547</v>
      </c>
      <c r="BL5" s="53"/>
      <c r="BM5" s="53"/>
      <c r="BN5" s="53"/>
      <c r="BO5" s="53"/>
      <c r="BP5" s="53"/>
      <c r="BQ5" s="53"/>
      <c r="BR5" s="53"/>
      <c r="BS5" s="53"/>
      <c r="BT5" s="53"/>
      <c r="BU5" s="53"/>
      <c r="BV5" s="53"/>
      <c r="BW5" s="52" t="s">
        <v>548</v>
      </c>
      <c r="BX5" s="53"/>
      <c r="BY5" s="53"/>
      <c r="BZ5" s="53"/>
      <c r="CA5" s="53"/>
      <c r="CB5" s="53"/>
      <c r="CC5" s="53"/>
      <c r="CD5" s="53"/>
      <c r="CE5" s="53"/>
      <c r="CF5" s="53"/>
      <c r="CG5" s="53"/>
      <c r="CH5" s="53"/>
      <c r="CI5" s="52" t="s">
        <v>549</v>
      </c>
      <c r="CJ5" s="53"/>
      <c r="CK5" s="53"/>
      <c r="CL5" s="53"/>
      <c r="CM5" s="53"/>
      <c r="CN5" s="53"/>
      <c r="CO5" s="53"/>
      <c r="CP5" s="53"/>
      <c r="CQ5" s="53"/>
      <c r="CR5" s="53"/>
      <c r="CS5" s="53"/>
      <c r="CT5" s="53"/>
    </row>
    <row r="6" customFormat="false" ht="15" hidden="false" customHeight="true" outlineLevel="0" collapsed="false">
      <c r="B6" s="54" t="s">
        <v>550</v>
      </c>
      <c r="C6" s="55" t="s">
        <v>505</v>
      </c>
      <c r="D6" s="55" t="s">
        <v>506</v>
      </c>
      <c r="E6" s="55" t="s">
        <v>507</v>
      </c>
      <c r="F6" s="55" t="s">
        <v>508</v>
      </c>
      <c r="G6" s="55" t="s">
        <v>509</v>
      </c>
      <c r="H6" s="55" t="s">
        <v>510</v>
      </c>
      <c r="I6" s="55" t="s">
        <v>511</v>
      </c>
      <c r="J6" s="55" t="s">
        <v>512</v>
      </c>
      <c r="K6" s="55" t="s">
        <v>513</v>
      </c>
      <c r="L6" s="55" t="s">
        <v>514</v>
      </c>
      <c r="M6" s="55" t="s">
        <v>515</v>
      </c>
      <c r="N6" s="55" t="s">
        <v>516</v>
      </c>
      <c r="O6" s="55" t="s">
        <v>505</v>
      </c>
      <c r="P6" s="55" t="s">
        <v>506</v>
      </c>
      <c r="Q6" s="55" t="s">
        <v>507</v>
      </c>
      <c r="R6" s="55" t="s">
        <v>508</v>
      </c>
      <c r="S6" s="55" t="s">
        <v>509</v>
      </c>
      <c r="T6" s="55" t="s">
        <v>510</v>
      </c>
      <c r="U6" s="55" t="s">
        <v>511</v>
      </c>
      <c r="V6" s="55" t="s">
        <v>512</v>
      </c>
      <c r="W6" s="55" t="s">
        <v>513</v>
      </c>
      <c r="X6" s="55" t="s">
        <v>514</v>
      </c>
      <c r="Y6" s="55" t="s">
        <v>515</v>
      </c>
      <c r="Z6" s="55" t="s">
        <v>516</v>
      </c>
      <c r="AA6" s="55" t="s">
        <v>505</v>
      </c>
      <c r="AB6" s="55" t="s">
        <v>506</v>
      </c>
      <c r="AC6" s="55" t="s">
        <v>507</v>
      </c>
      <c r="AD6" s="55" t="s">
        <v>508</v>
      </c>
      <c r="AE6" s="55" t="s">
        <v>509</v>
      </c>
      <c r="AF6" s="55" t="s">
        <v>510</v>
      </c>
      <c r="AG6" s="55" t="s">
        <v>511</v>
      </c>
      <c r="AH6" s="55" t="s">
        <v>512</v>
      </c>
      <c r="AI6" s="55" t="s">
        <v>513</v>
      </c>
      <c r="AJ6" s="55" t="s">
        <v>514</v>
      </c>
      <c r="AK6" s="55" t="s">
        <v>515</v>
      </c>
      <c r="AL6" s="55" t="s">
        <v>516</v>
      </c>
      <c r="AM6" s="55" t="s">
        <v>505</v>
      </c>
      <c r="AN6" s="55" t="s">
        <v>506</v>
      </c>
      <c r="AO6" s="55" t="s">
        <v>507</v>
      </c>
      <c r="AP6" s="55" t="s">
        <v>508</v>
      </c>
      <c r="AQ6" s="55" t="s">
        <v>509</v>
      </c>
      <c r="AR6" s="55" t="s">
        <v>510</v>
      </c>
      <c r="AS6" s="55" t="s">
        <v>511</v>
      </c>
      <c r="AT6" s="55" t="s">
        <v>512</v>
      </c>
      <c r="AU6" s="55" t="s">
        <v>513</v>
      </c>
      <c r="AV6" s="55" t="s">
        <v>514</v>
      </c>
      <c r="AW6" s="55" t="s">
        <v>515</v>
      </c>
      <c r="AX6" s="55" t="s">
        <v>516</v>
      </c>
      <c r="AY6" s="55" t="s">
        <v>505</v>
      </c>
      <c r="AZ6" s="55" t="s">
        <v>506</v>
      </c>
      <c r="BA6" s="55" t="s">
        <v>507</v>
      </c>
      <c r="BB6" s="55" t="s">
        <v>508</v>
      </c>
      <c r="BC6" s="55" t="s">
        <v>509</v>
      </c>
      <c r="BD6" s="55" t="s">
        <v>510</v>
      </c>
      <c r="BE6" s="55" t="s">
        <v>511</v>
      </c>
      <c r="BF6" s="55" t="s">
        <v>512</v>
      </c>
      <c r="BG6" s="55" t="s">
        <v>513</v>
      </c>
      <c r="BH6" s="55" t="s">
        <v>514</v>
      </c>
      <c r="BI6" s="55" t="s">
        <v>515</v>
      </c>
      <c r="BJ6" s="55" t="s">
        <v>516</v>
      </c>
      <c r="BK6" s="55" t="s">
        <v>505</v>
      </c>
      <c r="BL6" s="55" t="s">
        <v>506</v>
      </c>
      <c r="BM6" s="55" t="s">
        <v>507</v>
      </c>
      <c r="BN6" s="55" t="s">
        <v>508</v>
      </c>
      <c r="BO6" s="55" t="s">
        <v>509</v>
      </c>
      <c r="BP6" s="55" t="s">
        <v>510</v>
      </c>
      <c r="BQ6" s="55" t="s">
        <v>511</v>
      </c>
      <c r="BR6" s="55" t="s">
        <v>512</v>
      </c>
      <c r="BS6" s="55" t="s">
        <v>513</v>
      </c>
      <c r="BT6" s="55" t="s">
        <v>514</v>
      </c>
      <c r="BU6" s="55" t="s">
        <v>515</v>
      </c>
      <c r="BV6" s="55" t="s">
        <v>516</v>
      </c>
      <c r="BW6" s="55" t="s">
        <v>505</v>
      </c>
      <c r="BX6" s="55" t="s">
        <v>506</v>
      </c>
      <c r="BY6" s="55" t="s">
        <v>507</v>
      </c>
      <c r="BZ6" s="55" t="s">
        <v>508</v>
      </c>
      <c r="CA6" s="55" t="s">
        <v>509</v>
      </c>
      <c r="CB6" s="55" t="s">
        <v>510</v>
      </c>
      <c r="CC6" s="55" t="s">
        <v>511</v>
      </c>
      <c r="CD6" s="55" t="s">
        <v>512</v>
      </c>
      <c r="CE6" s="55" t="s">
        <v>513</v>
      </c>
      <c r="CF6" s="55" t="s">
        <v>514</v>
      </c>
      <c r="CG6" s="55" t="s">
        <v>515</v>
      </c>
      <c r="CH6" s="55" t="s">
        <v>516</v>
      </c>
      <c r="CI6" s="55" t="s">
        <v>505</v>
      </c>
      <c r="CJ6" s="55" t="s">
        <v>506</v>
      </c>
      <c r="CK6" s="55" t="s">
        <v>507</v>
      </c>
      <c r="CL6" s="55" t="s">
        <v>508</v>
      </c>
      <c r="CM6" s="55" t="s">
        <v>509</v>
      </c>
      <c r="CN6" s="55" t="s">
        <v>510</v>
      </c>
      <c r="CO6" s="55" t="s">
        <v>511</v>
      </c>
      <c r="CP6" s="55" t="s">
        <v>512</v>
      </c>
      <c r="CQ6" s="55" t="s">
        <v>513</v>
      </c>
      <c r="CR6" s="55" t="s">
        <v>514</v>
      </c>
      <c r="CS6" s="55" t="s">
        <v>515</v>
      </c>
      <c r="CT6" s="55" t="s">
        <v>516</v>
      </c>
    </row>
    <row r="7" customFormat="false" ht="15" hidden="false" customHeight="true" outlineLevel="0" collapsed="false">
      <c r="B7" s="56" t="s">
        <v>566</v>
      </c>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c r="CS7" s="64"/>
      <c r="CT7" s="64"/>
    </row>
    <row r="8" customFormat="false" ht="15" hidden="false" customHeight="true" outlineLevel="0" collapsed="false">
      <c r="B8" s="19" t="s">
        <v>567</v>
      </c>
      <c r="C8" s="57" t="n">
        <f aca="false">Supuestos!$C$15*(1+Supuestos!$C$35)^3*(12/13)*Estacionalidad!C$10</f>
        <v>8583809501.91538</v>
      </c>
      <c r="D8" s="57" t="n">
        <f aca="false">Supuestos!$C$15*(1+Supuestos!$C$35)^3*(12/13)*Estacionalidad!D$10</f>
        <v>8583809501.91538</v>
      </c>
      <c r="E8" s="57" t="n">
        <f aca="false">Supuestos!$C$15*(1+Supuestos!$C$35)^3*(12/13)*Estacionalidad!E$10</f>
        <v>8583809501.91538</v>
      </c>
      <c r="F8" s="57" t="n">
        <f aca="false">Supuestos!$C$15*(1+Supuestos!$C$35)^3*(12/13)*Estacionalidad!F$10</f>
        <v>8583809501.91538</v>
      </c>
      <c r="G8" s="57" t="n">
        <f aca="false">Supuestos!$C$15*(1+Supuestos!$C$35)^3*(12/13)*Estacionalidad!G$10</f>
        <v>8583809501.91538</v>
      </c>
      <c r="H8" s="57" t="n">
        <f aca="false">Supuestos!$C$15*(1+Supuestos!$C$35)^3*(12/13)*Estacionalidad!H$10</f>
        <v>8583809501.91538</v>
      </c>
      <c r="I8" s="57" t="n">
        <f aca="false">Supuestos!$C$15*(1+Supuestos!$C$35)^3*(12/13)*Estacionalidad!I$10</f>
        <v>8583809501.91538</v>
      </c>
      <c r="J8" s="57" t="n">
        <f aca="false">Supuestos!$C$15*(1+Supuestos!$C$35)^3*(12/13)*Estacionalidad!J$10</f>
        <v>8583809501.91538</v>
      </c>
      <c r="K8" s="57" t="n">
        <f aca="false">Supuestos!$C$15*(1+Supuestos!$C$35)^3*(12/13)*Estacionalidad!K$10</f>
        <v>8583809501.91538</v>
      </c>
      <c r="L8" s="57" t="n">
        <f aca="false">Supuestos!$C$15*(1+Supuestos!$C$35)^3*(12/13)*Estacionalidad!L$10</f>
        <v>8583809501.91538</v>
      </c>
      <c r="M8" s="57" t="n">
        <f aca="false">Supuestos!$C$15*(1+Supuestos!$C$35)^3*(12/13)*Estacionalidad!M$10</f>
        <v>8583809501.91538</v>
      </c>
      <c r="N8" s="57" t="n">
        <f aca="false">Supuestos!$C$15*(1+Supuestos!$C$35)^3*(12/13)*Estacionalidad!N$10</f>
        <v>8583809501.91538</v>
      </c>
      <c r="O8" s="57" t="n">
        <f aca="false">Supuestos!$C$15*(1+Supuestos!$C$35)^4*(12/13)*Estacionalidad!C$10</f>
        <v>8583809501.91538</v>
      </c>
      <c r="P8" s="57" t="n">
        <f aca="false">Supuestos!$C$15*(1+Supuestos!$C$35)^4*(12/13)*Estacionalidad!D$10</f>
        <v>8583809501.91538</v>
      </c>
      <c r="Q8" s="57" t="n">
        <f aca="false">Supuestos!$C$15*(1+Supuestos!$C$35)^4*(12/13)*Estacionalidad!E$10</f>
        <v>8583809501.91538</v>
      </c>
      <c r="R8" s="57" t="n">
        <f aca="false">Supuestos!$C$15*(1+Supuestos!$C$35)^4*(12/13)*Estacionalidad!F$10</f>
        <v>8583809501.91538</v>
      </c>
      <c r="S8" s="57" t="n">
        <f aca="false">Supuestos!$C$15*(1+Supuestos!$C$35)^4*(12/13)*Estacionalidad!G$10</f>
        <v>8583809501.91538</v>
      </c>
      <c r="T8" s="57" t="n">
        <f aca="false">Supuestos!$C$15*(1+Supuestos!$C$35)^4*(12/13)*Estacionalidad!H$10</f>
        <v>8583809501.91538</v>
      </c>
      <c r="U8" s="57" t="n">
        <f aca="false">Supuestos!$C$15*(1+Supuestos!$C$35)^4*(12/13)*Estacionalidad!I$10</f>
        <v>8583809501.91538</v>
      </c>
      <c r="V8" s="57" t="n">
        <f aca="false">Supuestos!$C$15*(1+Supuestos!$C$35)^4*(12/13)*Estacionalidad!J$10</f>
        <v>8583809501.91538</v>
      </c>
      <c r="W8" s="57" t="n">
        <f aca="false">Supuestos!$C$15*(1+Supuestos!$C$35)^4*(12/13)*Estacionalidad!K$10</f>
        <v>8583809501.91538</v>
      </c>
      <c r="X8" s="57" t="n">
        <f aca="false">Supuestos!$C$15*(1+Supuestos!$C$35)^4*(12/13)*Estacionalidad!L$10</f>
        <v>8583809501.91538</v>
      </c>
      <c r="Y8" s="57" t="n">
        <f aca="false">Supuestos!$C$15*(1+Supuestos!$C$35)^4*(12/13)*Estacionalidad!M$10</f>
        <v>8583809501.91538</v>
      </c>
      <c r="Z8" s="57" t="n">
        <f aca="false">Supuestos!$C$15*(1+Supuestos!$C$35)^4*(12/13)*Estacionalidad!N$10</f>
        <v>8583809501.91538</v>
      </c>
      <c r="AA8" s="57" t="n">
        <f aca="false">Supuestos!$C$15*(1+Supuestos!$C$35)^5*(12/13)*Estacionalidad!C$10</f>
        <v>8583809501.91538</v>
      </c>
      <c r="AB8" s="57" t="n">
        <f aca="false">Supuestos!$C$15*(1+Supuestos!$C$35)^5*(12/13)*Estacionalidad!D$10</f>
        <v>8583809501.91538</v>
      </c>
      <c r="AC8" s="57" t="n">
        <f aca="false">Supuestos!$C$15*(1+Supuestos!$C$35)^5*(12/13)*Estacionalidad!E$10</f>
        <v>8583809501.91538</v>
      </c>
      <c r="AD8" s="57" t="n">
        <f aca="false">Supuestos!$C$15*(1+Supuestos!$C$35)^5*(12/13)*Estacionalidad!F$10</f>
        <v>8583809501.91538</v>
      </c>
      <c r="AE8" s="57" t="n">
        <f aca="false">Supuestos!$C$15*(1+Supuestos!$C$35)^5*(12/13)*Estacionalidad!G$10</f>
        <v>8583809501.91538</v>
      </c>
      <c r="AF8" s="57" t="n">
        <f aca="false">Supuestos!$C$15*(1+Supuestos!$C$35)^5*(12/13)*Estacionalidad!H$10</f>
        <v>8583809501.91538</v>
      </c>
      <c r="AG8" s="57" t="n">
        <f aca="false">Supuestos!$C$15*(1+Supuestos!$C$35)^5*(12/13)*Estacionalidad!I$10</f>
        <v>8583809501.91538</v>
      </c>
      <c r="AH8" s="57" t="n">
        <f aca="false">Supuestos!$C$15*(1+Supuestos!$C$35)^5*(12/13)*Estacionalidad!J$10</f>
        <v>8583809501.91538</v>
      </c>
      <c r="AI8" s="57" t="n">
        <f aca="false">Supuestos!$C$15*(1+Supuestos!$C$35)^5*(12/13)*Estacionalidad!K$10</f>
        <v>8583809501.91538</v>
      </c>
      <c r="AJ8" s="57" t="n">
        <f aca="false">Supuestos!$C$15*(1+Supuestos!$C$35)^5*(12/13)*Estacionalidad!L$10</f>
        <v>8583809501.91538</v>
      </c>
      <c r="AK8" s="57" t="n">
        <f aca="false">Supuestos!$C$15*(1+Supuestos!$C$35)^5*(12/13)*Estacionalidad!M$10</f>
        <v>8583809501.91538</v>
      </c>
      <c r="AL8" s="57" t="n">
        <f aca="false">Supuestos!$C$15*(1+Supuestos!$C$35)^5*(12/13)*Estacionalidad!N$10</f>
        <v>8583809501.91538</v>
      </c>
      <c r="AM8" s="57" t="n">
        <f aca="false">Supuestos!$C$15*(1+Supuestos!$C$35)^6*(12/13)*Estacionalidad!C$10</f>
        <v>8583809501.91538</v>
      </c>
      <c r="AN8" s="57" t="n">
        <f aca="false">Supuestos!$C$15*(1+Supuestos!$C$35)^6*(12/13)*Estacionalidad!D$10</f>
        <v>8583809501.91538</v>
      </c>
      <c r="AO8" s="57" t="n">
        <f aca="false">Supuestos!$C$15*(1+Supuestos!$C$35)^6*(12/13)*Estacionalidad!E$10</f>
        <v>8583809501.91538</v>
      </c>
      <c r="AP8" s="57" t="n">
        <f aca="false">Supuestos!$C$15*(1+Supuestos!$C$35)^6*(12/13)*Estacionalidad!F$10</f>
        <v>8583809501.91538</v>
      </c>
      <c r="AQ8" s="57" t="n">
        <f aca="false">Supuestos!$C$15*(1+Supuestos!$C$35)^6*(12/13)*Estacionalidad!G$10</f>
        <v>8583809501.91538</v>
      </c>
      <c r="AR8" s="57" t="n">
        <f aca="false">Supuestos!$C$15*(1+Supuestos!$C$35)^6*(12/13)*Estacionalidad!H$10</f>
        <v>8583809501.91538</v>
      </c>
      <c r="AS8" s="57" t="n">
        <f aca="false">Supuestos!$C$15*(1+Supuestos!$C$35)^6*(12/13)*Estacionalidad!I$10</f>
        <v>8583809501.91538</v>
      </c>
      <c r="AT8" s="57" t="n">
        <f aca="false">Supuestos!$C$15*(1+Supuestos!$C$35)^6*(12/13)*Estacionalidad!J$10</f>
        <v>8583809501.91538</v>
      </c>
      <c r="AU8" s="57" t="n">
        <f aca="false">Supuestos!$C$15*(1+Supuestos!$C$35)^6*(12/13)*Estacionalidad!K$10</f>
        <v>8583809501.91538</v>
      </c>
      <c r="AV8" s="57" t="n">
        <f aca="false">Supuestos!$C$15*(1+Supuestos!$C$35)^6*(12/13)*Estacionalidad!L$10</f>
        <v>8583809501.91538</v>
      </c>
      <c r="AW8" s="57" t="n">
        <f aca="false">Supuestos!$C$15*(1+Supuestos!$C$35)^6*(12/13)*Estacionalidad!M$10</f>
        <v>8583809501.91538</v>
      </c>
      <c r="AX8" s="57" t="n">
        <f aca="false">Supuestos!$C$15*(1+Supuestos!$C$35)^6*(12/13)*Estacionalidad!N$10</f>
        <v>8583809501.91538</v>
      </c>
      <c r="AY8" s="57" t="n">
        <f aca="false">Supuestos!$C$15*(1+Supuestos!$C$35)^7*(12/13)*Estacionalidad!C$10</f>
        <v>8583809501.91538</v>
      </c>
      <c r="AZ8" s="57" t="n">
        <f aca="false">Supuestos!$C$15*(1+Supuestos!$C$35)^7*(12/13)*Estacionalidad!D$10</f>
        <v>8583809501.91538</v>
      </c>
      <c r="BA8" s="57" t="n">
        <f aca="false">Supuestos!$C$15*(1+Supuestos!$C$35)^7*(12/13)*Estacionalidad!E$10</f>
        <v>8583809501.91538</v>
      </c>
      <c r="BB8" s="57" t="n">
        <f aca="false">Supuestos!$C$15*(1+Supuestos!$C$35)^7*(12/13)*Estacionalidad!F$10</f>
        <v>8583809501.91538</v>
      </c>
      <c r="BC8" s="57" t="n">
        <f aca="false">Supuestos!$C$15*(1+Supuestos!$C$35)^7*(12/13)*Estacionalidad!G$10</f>
        <v>8583809501.91538</v>
      </c>
      <c r="BD8" s="57" t="n">
        <f aca="false">Supuestos!$C$15*(1+Supuestos!$C$35)^7*(12/13)*Estacionalidad!H$10</f>
        <v>8583809501.91538</v>
      </c>
      <c r="BE8" s="57" t="n">
        <f aca="false">Supuestos!$C$15*(1+Supuestos!$C$35)^7*(12/13)*Estacionalidad!I$10</f>
        <v>8583809501.91538</v>
      </c>
      <c r="BF8" s="57" t="n">
        <f aca="false">Supuestos!$C$15*(1+Supuestos!$C$35)^7*(12/13)*Estacionalidad!J$10</f>
        <v>8583809501.91538</v>
      </c>
      <c r="BG8" s="57" t="n">
        <f aca="false">Supuestos!$C$15*(1+Supuestos!$C$35)^7*(12/13)*Estacionalidad!K$10</f>
        <v>8583809501.91538</v>
      </c>
      <c r="BH8" s="57" t="n">
        <f aca="false">Supuestos!$C$15*(1+Supuestos!$C$35)^7*(12/13)*Estacionalidad!L$10</f>
        <v>8583809501.91538</v>
      </c>
      <c r="BI8" s="57" t="n">
        <f aca="false">Supuestos!$C$15*(1+Supuestos!$C$35)^7*(12/13)*Estacionalidad!M$10</f>
        <v>8583809501.91538</v>
      </c>
      <c r="BJ8" s="57" t="n">
        <f aca="false">Supuestos!$C$15*(1+Supuestos!$C$35)^7*(12/13)*Estacionalidad!N$10</f>
        <v>8583809501.91538</v>
      </c>
      <c r="BK8" s="57" t="n">
        <f aca="false">Supuestos!$C$15*(1+Supuestos!$C$35)^8*(12/13)*Estacionalidad!C$10</f>
        <v>8583809501.91538</v>
      </c>
      <c r="BL8" s="57" t="n">
        <f aca="false">Supuestos!$C$15*(1+Supuestos!$C$35)^8*(12/13)*Estacionalidad!D$10</f>
        <v>8583809501.91538</v>
      </c>
      <c r="BM8" s="57" t="n">
        <f aca="false">Supuestos!$C$15*(1+Supuestos!$C$35)^8*(12/13)*Estacionalidad!E$10</f>
        <v>8583809501.91538</v>
      </c>
      <c r="BN8" s="57" t="n">
        <f aca="false">Supuestos!$C$15*(1+Supuestos!$C$35)^8*(12/13)*Estacionalidad!F$10</f>
        <v>8583809501.91538</v>
      </c>
      <c r="BO8" s="57" t="n">
        <f aca="false">Supuestos!$C$15*(1+Supuestos!$C$35)^8*(12/13)*Estacionalidad!G$10</f>
        <v>8583809501.91538</v>
      </c>
      <c r="BP8" s="57" t="n">
        <f aca="false">Supuestos!$C$15*(1+Supuestos!$C$35)^8*(12/13)*Estacionalidad!H$10</f>
        <v>8583809501.91538</v>
      </c>
      <c r="BQ8" s="57" t="n">
        <f aca="false">Supuestos!$C$15*(1+Supuestos!$C$35)^8*(12/13)*Estacionalidad!I$10</f>
        <v>8583809501.91538</v>
      </c>
      <c r="BR8" s="57" t="n">
        <f aca="false">Supuestos!$C$15*(1+Supuestos!$C$35)^8*(12/13)*Estacionalidad!J$10</f>
        <v>8583809501.91538</v>
      </c>
      <c r="BS8" s="57" t="n">
        <f aca="false">Supuestos!$C$15*(1+Supuestos!$C$35)^8*(12/13)*Estacionalidad!K$10</f>
        <v>8583809501.91538</v>
      </c>
      <c r="BT8" s="57" t="n">
        <f aca="false">Supuestos!$C$15*(1+Supuestos!$C$35)^8*(12/13)*Estacionalidad!L$10</f>
        <v>8583809501.91538</v>
      </c>
      <c r="BU8" s="57" t="n">
        <f aca="false">Supuestos!$C$15*(1+Supuestos!$C$35)^8*(12/13)*Estacionalidad!M$10</f>
        <v>8583809501.91538</v>
      </c>
      <c r="BV8" s="57" t="n">
        <f aca="false">Supuestos!$C$15*(1+Supuestos!$C$35)^8*(12/13)*Estacionalidad!N$10</f>
        <v>8583809501.91538</v>
      </c>
      <c r="BW8" s="57" t="n">
        <f aca="false">Supuestos!$C$15*(1+Supuestos!$C$35)^9*(12/13)*Estacionalidad!C$10</f>
        <v>8583809501.91538</v>
      </c>
      <c r="BX8" s="57" t="n">
        <f aca="false">Supuestos!$C$15*(1+Supuestos!$C$35)^9*(12/13)*Estacionalidad!D$10</f>
        <v>8583809501.91538</v>
      </c>
      <c r="BY8" s="57" t="n">
        <f aca="false">Supuestos!$C$15*(1+Supuestos!$C$35)^9*(12/13)*Estacionalidad!E$10</f>
        <v>8583809501.91538</v>
      </c>
      <c r="BZ8" s="57" t="n">
        <f aca="false">Supuestos!$C$15*(1+Supuestos!$C$35)^9*(12/13)*Estacionalidad!F$10</f>
        <v>8583809501.91538</v>
      </c>
      <c r="CA8" s="57" t="n">
        <f aca="false">Supuestos!$C$15*(1+Supuestos!$C$35)^9*(12/13)*Estacionalidad!G$10</f>
        <v>8583809501.91538</v>
      </c>
      <c r="CB8" s="57" t="n">
        <f aca="false">Supuestos!$C$15*(1+Supuestos!$C$35)^9*(12/13)*Estacionalidad!H$10</f>
        <v>8583809501.91538</v>
      </c>
      <c r="CC8" s="57" t="n">
        <f aca="false">Supuestos!$C$15*(1+Supuestos!$C$35)^9*(12/13)*Estacionalidad!I$10</f>
        <v>8583809501.91538</v>
      </c>
      <c r="CD8" s="57" t="n">
        <f aca="false">Supuestos!$C$15*(1+Supuestos!$C$35)^9*(12/13)*Estacionalidad!J$10</f>
        <v>8583809501.91538</v>
      </c>
      <c r="CE8" s="57" t="n">
        <f aca="false">Supuestos!$C$15*(1+Supuestos!$C$35)^9*(12/13)*Estacionalidad!K$10</f>
        <v>8583809501.91538</v>
      </c>
      <c r="CF8" s="57" t="n">
        <f aca="false">Supuestos!$C$15*(1+Supuestos!$C$35)^9*(12/13)*Estacionalidad!L$10</f>
        <v>8583809501.91538</v>
      </c>
      <c r="CG8" s="57" t="n">
        <f aca="false">Supuestos!$C$15*(1+Supuestos!$C$35)^9*(12/13)*Estacionalidad!M$10</f>
        <v>8583809501.91538</v>
      </c>
      <c r="CH8" s="57" t="n">
        <f aca="false">Supuestos!$C$15*(1+Supuestos!$C$35)^9*(12/13)*Estacionalidad!N$10</f>
        <v>8583809501.91538</v>
      </c>
      <c r="CI8" s="57" t="n">
        <f aca="false">Supuestos!$C$15*(1+Supuestos!$C$35)^10*(12/13)*Estacionalidad!C$10</f>
        <v>8583809501.91538</v>
      </c>
      <c r="CJ8" s="57" t="n">
        <f aca="false">Supuestos!$C$15*(1+Supuestos!$C$35)^10*(12/13)*Estacionalidad!D$10</f>
        <v>8583809501.91538</v>
      </c>
      <c r="CK8" s="57" t="n">
        <f aca="false">Supuestos!$C$15*(1+Supuestos!$C$35)^10*(12/13)*Estacionalidad!E$10</f>
        <v>8583809501.91538</v>
      </c>
      <c r="CL8" s="57" t="n">
        <f aca="false">Supuestos!$C$15*(1+Supuestos!$C$35)^10*(12/13)*Estacionalidad!F$10</f>
        <v>8583809501.91538</v>
      </c>
      <c r="CM8" s="57" t="n">
        <f aca="false">Supuestos!$C$15*(1+Supuestos!$C$35)^10*(12/13)*Estacionalidad!G$10</f>
        <v>8583809501.91538</v>
      </c>
      <c r="CN8" s="57" t="n">
        <f aca="false">Supuestos!$C$15*(1+Supuestos!$C$35)^10*(12/13)*Estacionalidad!H$10</f>
        <v>8583809501.91538</v>
      </c>
      <c r="CO8" s="57" t="n">
        <f aca="false">Supuestos!$C$15*(1+Supuestos!$C$35)^10*(12/13)*Estacionalidad!I$10</f>
        <v>8583809501.91538</v>
      </c>
      <c r="CP8" s="57" t="n">
        <f aca="false">Supuestos!$C$15*(1+Supuestos!$C$35)^10*(12/13)*Estacionalidad!J$10</f>
        <v>8583809501.91538</v>
      </c>
      <c r="CQ8" s="57" t="n">
        <f aca="false">Supuestos!$C$15*(1+Supuestos!$C$35)^10*(12/13)*Estacionalidad!K$10</f>
        <v>8583809501.91538</v>
      </c>
      <c r="CR8" s="57" t="n">
        <f aca="false">Supuestos!$C$15*(1+Supuestos!$C$35)^10*(12/13)*Estacionalidad!L$10</f>
        <v>8583809501.91538</v>
      </c>
      <c r="CS8" s="57" t="n">
        <f aca="false">Supuestos!$C$15*(1+Supuestos!$C$35)^10*(12/13)*Estacionalidad!M$10</f>
        <v>8583809501.91538</v>
      </c>
      <c r="CT8" s="57" t="n">
        <f aca="false">Supuestos!$C$15*(1+Supuestos!$C$35)^10*(12/13)*Estacionalidad!N$10</f>
        <v>8583809501.91538</v>
      </c>
    </row>
    <row r="9" customFormat="false" ht="15" hidden="false" customHeight="true" outlineLevel="0" collapsed="false">
      <c r="B9" s="19" t="s">
        <v>568</v>
      </c>
      <c r="C9" s="57" t="n">
        <f aca="false">Supuestos!$C$15*(1+Supuestos!$C$35)^3*(1/13)*Estacionalidad!C$11</f>
        <v>0</v>
      </c>
      <c r="D9" s="57" t="n">
        <f aca="false">Supuestos!$C$15*(1+Supuestos!$C$35)^3*(1/13)*Estacionalidad!D$11</f>
        <v>0</v>
      </c>
      <c r="E9" s="57" t="n">
        <f aca="false">Supuestos!$C$15*(1+Supuestos!$C$35)^3*(1/13)*Estacionalidad!E$11</f>
        <v>0</v>
      </c>
      <c r="F9" s="57" t="n">
        <f aca="false">Supuestos!$C$15*(1+Supuestos!$C$35)^3*(1/13)*Estacionalidad!F$11</f>
        <v>0</v>
      </c>
      <c r="G9" s="57" t="n">
        <f aca="false">Supuestos!$C$15*(1+Supuestos!$C$35)^3*(1/13)*Estacionalidad!G$11</f>
        <v>0</v>
      </c>
      <c r="H9" s="57" t="n">
        <f aca="false">Supuestos!$C$15*(1+Supuestos!$C$35)^3*(1/13)*Estacionalidad!H$11</f>
        <v>4291904750.95769</v>
      </c>
      <c r="I9" s="57" t="n">
        <f aca="false">Supuestos!$C$15*(1+Supuestos!$C$35)^3*(1/13)*Estacionalidad!I$11</f>
        <v>0</v>
      </c>
      <c r="J9" s="57" t="n">
        <f aca="false">Supuestos!$C$15*(1+Supuestos!$C$35)^3*(1/13)*Estacionalidad!J$11</f>
        <v>0</v>
      </c>
      <c r="K9" s="57" t="n">
        <f aca="false">Supuestos!$C$15*(1+Supuestos!$C$35)^3*(1/13)*Estacionalidad!K$11</f>
        <v>0</v>
      </c>
      <c r="L9" s="57" t="n">
        <f aca="false">Supuestos!$C$15*(1+Supuestos!$C$35)^3*(1/13)*Estacionalidad!L$11</f>
        <v>0</v>
      </c>
      <c r="M9" s="57" t="n">
        <f aca="false">Supuestos!$C$15*(1+Supuestos!$C$35)^3*(1/13)*Estacionalidad!M$11</f>
        <v>0</v>
      </c>
      <c r="N9" s="57" t="n">
        <f aca="false">Supuestos!$C$15*(1+Supuestos!$C$35)^3*(1/13)*Estacionalidad!N$11</f>
        <v>4291904750.95769</v>
      </c>
      <c r="O9" s="57" t="n">
        <f aca="false">Supuestos!$C$15*(1+Supuestos!$C$35)^4*(1/13)*Estacionalidad!C$11</f>
        <v>0</v>
      </c>
      <c r="P9" s="57" t="n">
        <f aca="false">Supuestos!$C$15*(1+Supuestos!$C$35)^4*(1/13)*Estacionalidad!D$11</f>
        <v>0</v>
      </c>
      <c r="Q9" s="57" t="n">
        <f aca="false">Supuestos!$C$15*(1+Supuestos!$C$35)^4*(1/13)*Estacionalidad!E$11</f>
        <v>0</v>
      </c>
      <c r="R9" s="57" t="n">
        <f aca="false">Supuestos!$C$15*(1+Supuestos!$C$35)^4*(1/13)*Estacionalidad!F$11</f>
        <v>0</v>
      </c>
      <c r="S9" s="57" t="n">
        <f aca="false">Supuestos!$C$15*(1+Supuestos!$C$35)^4*(1/13)*Estacionalidad!G$11</f>
        <v>0</v>
      </c>
      <c r="T9" s="57" t="n">
        <f aca="false">Supuestos!$C$15*(1+Supuestos!$C$35)^4*(1/13)*Estacionalidad!H$11</f>
        <v>4291904750.95769</v>
      </c>
      <c r="U9" s="57" t="n">
        <f aca="false">Supuestos!$C$15*(1+Supuestos!$C$35)^4*(1/13)*Estacionalidad!I$11</f>
        <v>0</v>
      </c>
      <c r="V9" s="57" t="n">
        <f aca="false">Supuestos!$C$15*(1+Supuestos!$C$35)^4*(1/13)*Estacionalidad!J$11</f>
        <v>0</v>
      </c>
      <c r="W9" s="57" t="n">
        <f aca="false">Supuestos!$C$15*(1+Supuestos!$C$35)^4*(1/13)*Estacionalidad!K$11</f>
        <v>0</v>
      </c>
      <c r="X9" s="57" t="n">
        <f aca="false">Supuestos!$C$15*(1+Supuestos!$C$35)^4*(1/13)*Estacionalidad!L$11</f>
        <v>0</v>
      </c>
      <c r="Y9" s="57" t="n">
        <f aca="false">Supuestos!$C$15*(1+Supuestos!$C$35)^4*(1/13)*Estacionalidad!M$11</f>
        <v>0</v>
      </c>
      <c r="Z9" s="57" t="n">
        <f aca="false">Supuestos!$C$15*(1+Supuestos!$C$35)^4*(1/13)*Estacionalidad!N$11</f>
        <v>4291904750.95769</v>
      </c>
      <c r="AA9" s="57" t="n">
        <f aca="false">Supuestos!$C$15*(1+Supuestos!$C$35)^5*(1/13)*Estacionalidad!C$11</f>
        <v>0</v>
      </c>
      <c r="AB9" s="57" t="n">
        <f aca="false">Supuestos!$C$15*(1+Supuestos!$C$35)^5*(1/13)*Estacionalidad!D$11</f>
        <v>0</v>
      </c>
      <c r="AC9" s="57" t="n">
        <f aca="false">Supuestos!$C$15*(1+Supuestos!$C$35)^5*(1/13)*Estacionalidad!E$11</f>
        <v>0</v>
      </c>
      <c r="AD9" s="57" t="n">
        <f aca="false">Supuestos!$C$15*(1+Supuestos!$C$35)^5*(1/13)*Estacionalidad!F$11</f>
        <v>0</v>
      </c>
      <c r="AE9" s="57" t="n">
        <f aca="false">Supuestos!$C$15*(1+Supuestos!$C$35)^5*(1/13)*Estacionalidad!G$11</f>
        <v>0</v>
      </c>
      <c r="AF9" s="57" t="n">
        <f aca="false">Supuestos!$C$15*(1+Supuestos!$C$35)^5*(1/13)*Estacionalidad!H$11</f>
        <v>4291904750.95769</v>
      </c>
      <c r="AG9" s="57" t="n">
        <f aca="false">Supuestos!$C$15*(1+Supuestos!$C$35)^5*(1/13)*Estacionalidad!I$11</f>
        <v>0</v>
      </c>
      <c r="AH9" s="57" t="n">
        <f aca="false">Supuestos!$C$15*(1+Supuestos!$C$35)^5*(1/13)*Estacionalidad!J$11</f>
        <v>0</v>
      </c>
      <c r="AI9" s="57" t="n">
        <f aca="false">Supuestos!$C$15*(1+Supuestos!$C$35)^5*(1/13)*Estacionalidad!K$11</f>
        <v>0</v>
      </c>
      <c r="AJ9" s="57" t="n">
        <f aca="false">Supuestos!$C$15*(1+Supuestos!$C$35)^5*(1/13)*Estacionalidad!L$11</f>
        <v>0</v>
      </c>
      <c r="AK9" s="57" t="n">
        <f aca="false">Supuestos!$C$15*(1+Supuestos!$C$35)^5*(1/13)*Estacionalidad!M$11</f>
        <v>0</v>
      </c>
      <c r="AL9" s="57" t="n">
        <f aca="false">Supuestos!$C$15*(1+Supuestos!$C$35)^5*(1/13)*Estacionalidad!N$11</f>
        <v>4291904750.95769</v>
      </c>
      <c r="AM9" s="57" t="n">
        <f aca="false">Supuestos!$C$15*(1+Supuestos!$C$35)^6*(1/13)*Estacionalidad!C$11</f>
        <v>0</v>
      </c>
      <c r="AN9" s="57" t="n">
        <f aca="false">Supuestos!$C$15*(1+Supuestos!$C$35)^6*(1/13)*Estacionalidad!D$11</f>
        <v>0</v>
      </c>
      <c r="AO9" s="57" t="n">
        <f aca="false">Supuestos!$C$15*(1+Supuestos!$C$35)^6*(1/13)*Estacionalidad!E$11</f>
        <v>0</v>
      </c>
      <c r="AP9" s="57" t="n">
        <f aca="false">Supuestos!$C$15*(1+Supuestos!$C$35)^6*(1/13)*Estacionalidad!F$11</f>
        <v>0</v>
      </c>
      <c r="AQ9" s="57" t="n">
        <f aca="false">Supuestos!$C$15*(1+Supuestos!$C$35)^6*(1/13)*Estacionalidad!G$11</f>
        <v>0</v>
      </c>
      <c r="AR9" s="57" t="n">
        <f aca="false">Supuestos!$C$15*(1+Supuestos!$C$35)^6*(1/13)*Estacionalidad!H$11</f>
        <v>4291904750.95769</v>
      </c>
      <c r="AS9" s="57" t="n">
        <f aca="false">Supuestos!$C$15*(1+Supuestos!$C$35)^6*(1/13)*Estacionalidad!I$11</f>
        <v>0</v>
      </c>
      <c r="AT9" s="57" t="n">
        <f aca="false">Supuestos!$C$15*(1+Supuestos!$C$35)^6*(1/13)*Estacionalidad!J$11</f>
        <v>0</v>
      </c>
      <c r="AU9" s="57" t="n">
        <f aca="false">Supuestos!$C$15*(1+Supuestos!$C$35)^6*(1/13)*Estacionalidad!K$11</f>
        <v>0</v>
      </c>
      <c r="AV9" s="57" t="n">
        <f aca="false">Supuestos!$C$15*(1+Supuestos!$C$35)^6*(1/13)*Estacionalidad!L$11</f>
        <v>0</v>
      </c>
      <c r="AW9" s="57" t="n">
        <f aca="false">Supuestos!$C$15*(1+Supuestos!$C$35)^6*(1/13)*Estacionalidad!M$11</f>
        <v>0</v>
      </c>
      <c r="AX9" s="57" t="n">
        <f aca="false">Supuestos!$C$15*(1+Supuestos!$C$35)^6*(1/13)*Estacionalidad!N$11</f>
        <v>4291904750.95769</v>
      </c>
      <c r="AY9" s="57" t="n">
        <f aca="false">Supuestos!$C$15*(1+Supuestos!$C$35)^7*(1/13)*Estacionalidad!C$11</f>
        <v>0</v>
      </c>
      <c r="AZ9" s="57" t="n">
        <f aca="false">Supuestos!$C$15*(1+Supuestos!$C$35)^7*(1/13)*Estacionalidad!D$11</f>
        <v>0</v>
      </c>
      <c r="BA9" s="57" t="n">
        <f aca="false">Supuestos!$C$15*(1+Supuestos!$C$35)^7*(1/13)*Estacionalidad!E$11</f>
        <v>0</v>
      </c>
      <c r="BB9" s="57" t="n">
        <f aca="false">Supuestos!$C$15*(1+Supuestos!$C$35)^7*(1/13)*Estacionalidad!F$11</f>
        <v>0</v>
      </c>
      <c r="BC9" s="57" t="n">
        <f aca="false">Supuestos!$C$15*(1+Supuestos!$C$35)^7*(1/13)*Estacionalidad!G$11</f>
        <v>0</v>
      </c>
      <c r="BD9" s="57" t="n">
        <f aca="false">Supuestos!$C$15*(1+Supuestos!$C$35)^7*(1/13)*Estacionalidad!H$11</f>
        <v>4291904750.95769</v>
      </c>
      <c r="BE9" s="57" t="n">
        <f aca="false">Supuestos!$C$15*(1+Supuestos!$C$35)^7*(1/13)*Estacionalidad!I$11</f>
        <v>0</v>
      </c>
      <c r="BF9" s="57" t="n">
        <f aca="false">Supuestos!$C$15*(1+Supuestos!$C$35)^7*(1/13)*Estacionalidad!J$11</f>
        <v>0</v>
      </c>
      <c r="BG9" s="57" t="n">
        <f aca="false">Supuestos!$C$15*(1+Supuestos!$C$35)^7*(1/13)*Estacionalidad!K$11</f>
        <v>0</v>
      </c>
      <c r="BH9" s="57" t="n">
        <f aca="false">Supuestos!$C$15*(1+Supuestos!$C$35)^7*(1/13)*Estacionalidad!L$11</f>
        <v>0</v>
      </c>
      <c r="BI9" s="57" t="n">
        <f aca="false">Supuestos!$C$15*(1+Supuestos!$C$35)^7*(1/13)*Estacionalidad!M$11</f>
        <v>0</v>
      </c>
      <c r="BJ9" s="57" t="n">
        <f aca="false">Supuestos!$C$15*(1+Supuestos!$C$35)^7*(1/13)*Estacionalidad!N$11</f>
        <v>4291904750.95769</v>
      </c>
      <c r="BK9" s="57" t="n">
        <f aca="false">Supuestos!$C$15*(1+Supuestos!$C$35)^8*(1/13)*Estacionalidad!C$11</f>
        <v>0</v>
      </c>
      <c r="BL9" s="57" t="n">
        <f aca="false">Supuestos!$C$15*(1+Supuestos!$C$35)^8*(1/13)*Estacionalidad!D$11</f>
        <v>0</v>
      </c>
      <c r="BM9" s="57" t="n">
        <f aca="false">Supuestos!$C$15*(1+Supuestos!$C$35)^8*(1/13)*Estacionalidad!E$11</f>
        <v>0</v>
      </c>
      <c r="BN9" s="57" t="n">
        <f aca="false">Supuestos!$C$15*(1+Supuestos!$C$35)^8*(1/13)*Estacionalidad!F$11</f>
        <v>0</v>
      </c>
      <c r="BO9" s="57" t="n">
        <f aca="false">Supuestos!$C$15*(1+Supuestos!$C$35)^8*(1/13)*Estacionalidad!G$11</f>
        <v>0</v>
      </c>
      <c r="BP9" s="57" t="n">
        <f aca="false">Supuestos!$C$15*(1+Supuestos!$C$35)^8*(1/13)*Estacionalidad!H$11</f>
        <v>4291904750.95769</v>
      </c>
      <c r="BQ9" s="57" t="n">
        <f aca="false">Supuestos!$C$15*(1+Supuestos!$C$35)^8*(1/13)*Estacionalidad!I$11</f>
        <v>0</v>
      </c>
      <c r="BR9" s="57" t="n">
        <f aca="false">Supuestos!$C$15*(1+Supuestos!$C$35)^8*(1/13)*Estacionalidad!J$11</f>
        <v>0</v>
      </c>
      <c r="BS9" s="57" t="n">
        <f aca="false">Supuestos!$C$15*(1+Supuestos!$C$35)^8*(1/13)*Estacionalidad!K$11</f>
        <v>0</v>
      </c>
      <c r="BT9" s="57" t="n">
        <f aca="false">Supuestos!$C$15*(1+Supuestos!$C$35)^8*(1/13)*Estacionalidad!L$11</f>
        <v>0</v>
      </c>
      <c r="BU9" s="57" t="n">
        <f aca="false">Supuestos!$C$15*(1+Supuestos!$C$35)^8*(1/13)*Estacionalidad!M$11</f>
        <v>0</v>
      </c>
      <c r="BV9" s="57" t="n">
        <f aca="false">Supuestos!$C$15*(1+Supuestos!$C$35)^8*(1/13)*Estacionalidad!N$11</f>
        <v>4291904750.95769</v>
      </c>
      <c r="BW9" s="57" t="n">
        <f aca="false">Supuestos!$C$15*(1+Supuestos!$C$35)^9*(1/13)*Estacionalidad!C$11</f>
        <v>0</v>
      </c>
      <c r="BX9" s="57" t="n">
        <f aca="false">Supuestos!$C$15*(1+Supuestos!$C$35)^9*(1/13)*Estacionalidad!D$11</f>
        <v>0</v>
      </c>
      <c r="BY9" s="57" t="n">
        <f aca="false">Supuestos!$C$15*(1+Supuestos!$C$35)^9*(1/13)*Estacionalidad!E$11</f>
        <v>0</v>
      </c>
      <c r="BZ9" s="57" t="n">
        <f aca="false">Supuestos!$C$15*(1+Supuestos!$C$35)^9*(1/13)*Estacionalidad!F$11</f>
        <v>0</v>
      </c>
      <c r="CA9" s="57" t="n">
        <f aca="false">Supuestos!$C$15*(1+Supuestos!$C$35)^9*(1/13)*Estacionalidad!G$11</f>
        <v>0</v>
      </c>
      <c r="CB9" s="57" t="n">
        <f aca="false">Supuestos!$C$15*(1+Supuestos!$C$35)^9*(1/13)*Estacionalidad!H$11</f>
        <v>4291904750.95769</v>
      </c>
      <c r="CC9" s="57" t="n">
        <f aca="false">Supuestos!$C$15*(1+Supuestos!$C$35)^9*(1/13)*Estacionalidad!I$11</f>
        <v>0</v>
      </c>
      <c r="CD9" s="57" t="n">
        <f aca="false">Supuestos!$C$15*(1+Supuestos!$C$35)^9*(1/13)*Estacionalidad!J$11</f>
        <v>0</v>
      </c>
      <c r="CE9" s="57" t="n">
        <f aca="false">Supuestos!$C$15*(1+Supuestos!$C$35)^9*(1/13)*Estacionalidad!K$11</f>
        <v>0</v>
      </c>
      <c r="CF9" s="57" t="n">
        <f aca="false">Supuestos!$C$15*(1+Supuestos!$C$35)^9*(1/13)*Estacionalidad!L$11</f>
        <v>0</v>
      </c>
      <c r="CG9" s="57" t="n">
        <f aca="false">Supuestos!$C$15*(1+Supuestos!$C$35)^9*(1/13)*Estacionalidad!M$11</f>
        <v>0</v>
      </c>
      <c r="CH9" s="57" t="n">
        <f aca="false">Supuestos!$C$15*(1+Supuestos!$C$35)^9*(1/13)*Estacionalidad!N$11</f>
        <v>4291904750.95769</v>
      </c>
      <c r="CI9" s="57" t="n">
        <f aca="false">Supuestos!$C$15*(1+Supuestos!$C$35)^10*(1/13)*Estacionalidad!C$11</f>
        <v>0</v>
      </c>
      <c r="CJ9" s="57" t="n">
        <f aca="false">Supuestos!$C$15*(1+Supuestos!$C$35)^10*(1/13)*Estacionalidad!D$11</f>
        <v>0</v>
      </c>
      <c r="CK9" s="57" t="n">
        <f aca="false">Supuestos!$C$15*(1+Supuestos!$C$35)^10*(1/13)*Estacionalidad!E$11</f>
        <v>0</v>
      </c>
      <c r="CL9" s="57" t="n">
        <f aca="false">Supuestos!$C$15*(1+Supuestos!$C$35)^10*(1/13)*Estacionalidad!F$11</f>
        <v>0</v>
      </c>
      <c r="CM9" s="57" t="n">
        <f aca="false">Supuestos!$C$15*(1+Supuestos!$C$35)^10*(1/13)*Estacionalidad!G$11</f>
        <v>0</v>
      </c>
      <c r="CN9" s="57" t="n">
        <f aca="false">Supuestos!$C$15*(1+Supuestos!$C$35)^10*(1/13)*Estacionalidad!H$11</f>
        <v>4291904750.95769</v>
      </c>
      <c r="CO9" s="57" t="n">
        <f aca="false">Supuestos!$C$15*(1+Supuestos!$C$35)^10*(1/13)*Estacionalidad!I$11</f>
        <v>0</v>
      </c>
      <c r="CP9" s="57" t="n">
        <f aca="false">Supuestos!$C$15*(1+Supuestos!$C$35)^10*(1/13)*Estacionalidad!J$11</f>
        <v>0</v>
      </c>
      <c r="CQ9" s="57" t="n">
        <f aca="false">Supuestos!$C$15*(1+Supuestos!$C$35)^10*(1/13)*Estacionalidad!K$11</f>
        <v>0</v>
      </c>
      <c r="CR9" s="57" t="n">
        <f aca="false">Supuestos!$C$15*(1+Supuestos!$C$35)^10*(1/13)*Estacionalidad!L$11</f>
        <v>0</v>
      </c>
      <c r="CS9" s="57" t="n">
        <f aca="false">Supuestos!$C$15*(1+Supuestos!$C$35)^10*(1/13)*Estacionalidad!M$11</f>
        <v>0</v>
      </c>
      <c r="CT9" s="57" t="n">
        <f aca="false">Supuestos!$C$15*(1+Supuestos!$C$35)^10*(1/13)*Estacionalidad!N$11</f>
        <v>4291904750.95769</v>
      </c>
    </row>
    <row r="10" customFormat="false" ht="15" hidden="false" customHeight="true" outlineLevel="0" collapsed="false">
      <c r="B10" s="19" t="s">
        <v>569</v>
      </c>
      <c r="C10" s="57" t="n">
        <f aca="false">Supuestos!$C$17*(1+Supuestos!$C$36)^3*Estacionalidad!C$12</f>
        <v>1546742780.3933</v>
      </c>
      <c r="D10" s="57" t="n">
        <f aca="false">Supuestos!$C$17*(1+Supuestos!$C$36)^3*Estacionalidad!D$12</f>
        <v>1723513383.86682</v>
      </c>
      <c r="E10" s="57" t="n">
        <f aca="false">Supuestos!$C$17*(1+Supuestos!$C$36)^3*Estacionalidad!E$12</f>
        <v>1900283987.34034</v>
      </c>
      <c r="F10" s="57" t="n">
        <f aca="false">Supuestos!$C$17*(1+Supuestos!$C$36)^3*Estacionalidad!F$12</f>
        <v>1900283987.34034</v>
      </c>
      <c r="G10" s="57" t="n">
        <f aca="false">Supuestos!$C$17*(1+Supuestos!$C$36)^3*Estacionalidad!G$12</f>
        <v>1900283987.34034</v>
      </c>
      <c r="H10" s="57" t="n">
        <f aca="false">Supuestos!$C$17*(1+Supuestos!$C$36)^3*Estacionalidad!H$12</f>
        <v>1900283987.34034</v>
      </c>
      <c r="I10" s="57" t="n">
        <f aca="false">Supuestos!$C$17*(1+Supuestos!$C$36)^3*Estacionalidad!I$12</f>
        <v>1900283987.34034</v>
      </c>
      <c r="J10" s="57" t="n">
        <f aca="false">Supuestos!$C$17*(1+Supuestos!$C$36)^3*Estacionalidad!J$12</f>
        <v>1900283987.34034</v>
      </c>
      <c r="K10" s="57" t="n">
        <f aca="false">Supuestos!$C$17*(1+Supuestos!$C$36)^3*Estacionalidad!K$12</f>
        <v>1900283987.34034</v>
      </c>
      <c r="L10" s="57" t="n">
        <f aca="false">Supuestos!$C$17*(1+Supuestos!$C$36)^3*Estacionalidad!L$12</f>
        <v>1944476638.20872</v>
      </c>
      <c r="M10" s="57" t="n">
        <f aca="false">Supuestos!$C$17*(1+Supuestos!$C$36)^3*Estacionalidad!M$12</f>
        <v>1944476638.20872</v>
      </c>
      <c r="N10" s="57" t="n">
        <f aca="false">Supuestos!$C$17*(1+Supuestos!$C$36)^3*Estacionalidad!N$12</f>
        <v>1635128082.13006</v>
      </c>
      <c r="O10" s="57" t="n">
        <f aca="false">Supuestos!$C$17*(1+Supuestos!$C$36)^4*Estacionalidad!C$12</f>
        <v>1546742780.3933</v>
      </c>
      <c r="P10" s="57" t="n">
        <f aca="false">Supuestos!$C$17*(1+Supuestos!$C$36)^4*Estacionalidad!D$12</f>
        <v>1723513383.86682</v>
      </c>
      <c r="Q10" s="57" t="n">
        <f aca="false">Supuestos!$C$17*(1+Supuestos!$C$36)^4*Estacionalidad!E$12</f>
        <v>1900283987.34034</v>
      </c>
      <c r="R10" s="57" t="n">
        <f aca="false">Supuestos!$C$17*(1+Supuestos!$C$36)^4*Estacionalidad!F$12</f>
        <v>1900283987.34034</v>
      </c>
      <c r="S10" s="57" t="n">
        <f aca="false">Supuestos!$C$17*(1+Supuestos!$C$36)^4*Estacionalidad!G$12</f>
        <v>1900283987.34034</v>
      </c>
      <c r="T10" s="57" t="n">
        <f aca="false">Supuestos!$C$17*(1+Supuestos!$C$36)^4*Estacionalidad!H$12</f>
        <v>1900283987.34034</v>
      </c>
      <c r="U10" s="57" t="n">
        <f aca="false">Supuestos!$C$17*(1+Supuestos!$C$36)^4*Estacionalidad!I$12</f>
        <v>1900283987.34034</v>
      </c>
      <c r="V10" s="57" t="n">
        <f aca="false">Supuestos!$C$17*(1+Supuestos!$C$36)^4*Estacionalidad!J$12</f>
        <v>1900283987.34034</v>
      </c>
      <c r="W10" s="57" t="n">
        <f aca="false">Supuestos!$C$17*(1+Supuestos!$C$36)^4*Estacionalidad!K$12</f>
        <v>1900283987.34034</v>
      </c>
      <c r="X10" s="57" t="n">
        <f aca="false">Supuestos!$C$17*(1+Supuestos!$C$36)^4*Estacionalidad!L$12</f>
        <v>1944476638.20872</v>
      </c>
      <c r="Y10" s="57" t="n">
        <f aca="false">Supuestos!$C$17*(1+Supuestos!$C$36)^4*Estacionalidad!M$12</f>
        <v>1944476638.20872</v>
      </c>
      <c r="Z10" s="57" t="n">
        <f aca="false">Supuestos!$C$17*(1+Supuestos!$C$36)^4*Estacionalidad!N$12</f>
        <v>1635128082.13006</v>
      </c>
      <c r="AA10" s="57" t="n">
        <f aca="false">Supuestos!$C$17*(1+Supuestos!$C$36)^5*Estacionalidad!C$12</f>
        <v>1546742780.3933</v>
      </c>
      <c r="AB10" s="57" t="n">
        <f aca="false">Supuestos!$C$17*(1+Supuestos!$C$36)^5*Estacionalidad!D$12</f>
        <v>1723513383.86682</v>
      </c>
      <c r="AC10" s="57" t="n">
        <f aca="false">Supuestos!$C$17*(1+Supuestos!$C$36)^5*Estacionalidad!E$12</f>
        <v>1900283987.34034</v>
      </c>
      <c r="AD10" s="57" t="n">
        <f aca="false">Supuestos!$C$17*(1+Supuestos!$C$36)^5*Estacionalidad!F$12</f>
        <v>1900283987.34034</v>
      </c>
      <c r="AE10" s="57" t="n">
        <f aca="false">Supuestos!$C$17*(1+Supuestos!$C$36)^5*Estacionalidad!G$12</f>
        <v>1900283987.34034</v>
      </c>
      <c r="AF10" s="57" t="n">
        <f aca="false">Supuestos!$C$17*(1+Supuestos!$C$36)^5*Estacionalidad!H$12</f>
        <v>1900283987.34034</v>
      </c>
      <c r="AG10" s="57" t="n">
        <f aca="false">Supuestos!$C$17*(1+Supuestos!$C$36)^5*Estacionalidad!I$12</f>
        <v>1900283987.34034</v>
      </c>
      <c r="AH10" s="57" t="n">
        <f aca="false">Supuestos!$C$17*(1+Supuestos!$C$36)^5*Estacionalidad!J$12</f>
        <v>1900283987.34034</v>
      </c>
      <c r="AI10" s="57" t="n">
        <f aca="false">Supuestos!$C$17*(1+Supuestos!$C$36)^5*Estacionalidad!K$12</f>
        <v>1900283987.34034</v>
      </c>
      <c r="AJ10" s="57" t="n">
        <f aca="false">Supuestos!$C$17*(1+Supuestos!$C$36)^5*Estacionalidad!L$12</f>
        <v>1944476638.20872</v>
      </c>
      <c r="AK10" s="57" t="n">
        <f aca="false">Supuestos!$C$17*(1+Supuestos!$C$36)^5*Estacionalidad!M$12</f>
        <v>1944476638.20872</v>
      </c>
      <c r="AL10" s="57" t="n">
        <f aca="false">Supuestos!$C$17*(1+Supuestos!$C$36)^5*Estacionalidad!N$12</f>
        <v>1635128082.13006</v>
      </c>
      <c r="AM10" s="57" t="n">
        <f aca="false">Supuestos!$C$17*(1+Supuestos!$C$36)^6*Estacionalidad!C$12</f>
        <v>1546742780.3933</v>
      </c>
      <c r="AN10" s="57" t="n">
        <f aca="false">Supuestos!$C$17*(1+Supuestos!$C$36)^6*Estacionalidad!D$12</f>
        <v>1723513383.86682</v>
      </c>
      <c r="AO10" s="57" t="n">
        <f aca="false">Supuestos!$C$17*(1+Supuestos!$C$36)^6*Estacionalidad!E$12</f>
        <v>1900283987.34034</v>
      </c>
      <c r="AP10" s="57" t="n">
        <f aca="false">Supuestos!$C$17*(1+Supuestos!$C$36)^6*Estacionalidad!F$12</f>
        <v>1900283987.34034</v>
      </c>
      <c r="AQ10" s="57" t="n">
        <f aca="false">Supuestos!$C$17*(1+Supuestos!$C$36)^6*Estacionalidad!G$12</f>
        <v>1900283987.34034</v>
      </c>
      <c r="AR10" s="57" t="n">
        <f aca="false">Supuestos!$C$17*(1+Supuestos!$C$36)^6*Estacionalidad!H$12</f>
        <v>1900283987.34034</v>
      </c>
      <c r="AS10" s="57" t="n">
        <f aca="false">Supuestos!$C$17*(1+Supuestos!$C$36)^6*Estacionalidad!I$12</f>
        <v>1900283987.34034</v>
      </c>
      <c r="AT10" s="57" t="n">
        <f aca="false">Supuestos!$C$17*(1+Supuestos!$C$36)^6*Estacionalidad!J$12</f>
        <v>1900283987.34034</v>
      </c>
      <c r="AU10" s="57" t="n">
        <f aca="false">Supuestos!$C$17*(1+Supuestos!$C$36)^6*Estacionalidad!K$12</f>
        <v>1900283987.34034</v>
      </c>
      <c r="AV10" s="57" t="n">
        <f aca="false">Supuestos!$C$17*(1+Supuestos!$C$36)^6*Estacionalidad!L$12</f>
        <v>1944476638.20872</v>
      </c>
      <c r="AW10" s="57" t="n">
        <f aca="false">Supuestos!$C$17*(1+Supuestos!$C$36)^6*Estacionalidad!M$12</f>
        <v>1944476638.20872</v>
      </c>
      <c r="AX10" s="57" t="n">
        <f aca="false">Supuestos!$C$17*(1+Supuestos!$C$36)^6*Estacionalidad!N$12</f>
        <v>1635128082.13006</v>
      </c>
      <c r="AY10" s="57" t="n">
        <f aca="false">Supuestos!$C$17*(1+Supuestos!$C$36)^7*Estacionalidad!C$12</f>
        <v>1546742780.3933</v>
      </c>
      <c r="AZ10" s="57" t="n">
        <f aca="false">Supuestos!$C$17*(1+Supuestos!$C$36)^7*Estacionalidad!D$12</f>
        <v>1723513383.86682</v>
      </c>
      <c r="BA10" s="57" t="n">
        <f aca="false">Supuestos!$C$17*(1+Supuestos!$C$36)^7*Estacionalidad!E$12</f>
        <v>1900283987.34034</v>
      </c>
      <c r="BB10" s="57" t="n">
        <f aca="false">Supuestos!$C$17*(1+Supuestos!$C$36)^7*Estacionalidad!F$12</f>
        <v>1900283987.34034</v>
      </c>
      <c r="BC10" s="57" t="n">
        <f aca="false">Supuestos!$C$17*(1+Supuestos!$C$36)^7*Estacionalidad!G$12</f>
        <v>1900283987.34034</v>
      </c>
      <c r="BD10" s="57" t="n">
        <f aca="false">Supuestos!$C$17*(1+Supuestos!$C$36)^7*Estacionalidad!H$12</f>
        <v>1900283987.34034</v>
      </c>
      <c r="BE10" s="57" t="n">
        <f aca="false">Supuestos!$C$17*(1+Supuestos!$C$36)^7*Estacionalidad!I$12</f>
        <v>1900283987.34034</v>
      </c>
      <c r="BF10" s="57" t="n">
        <f aca="false">Supuestos!$C$17*(1+Supuestos!$C$36)^7*Estacionalidad!J$12</f>
        <v>1900283987.34034</v>
      </c>
      <c r="BG10" s="57" t="n">
        <f aca="false">Supuestos!$C$17*(1+Supuestos!$C$36)^7*Estacionalidad!K$12</f>
        <v>1900283987.34034</v>
      </c>
      <c r="BH10" s="57" t="n">
        <f aca="false">Supuestos!$C$17*(1+Supuestos!$C$36)^7*Estacionalidad!L$12</f>
        <v>1944476638.20872</v>
      </c>
      <c r="BI10" s="57" t="n">
        <f aca="false">Supuestos!$C$17*(1+Supuestos!$C$36)^7*Estacionalidad!M$12</f>
        <v>1944476638.20872</v>
      </c>
      <c r="BJ10" s="57" t="n">
        <f aca="false">Supuestos!$C$17*(1+Supuestos!$C$36)^7*Estacionalidad!N$12</f>
        <v>1635128082.13006</v>
      </c>
      <c r="BK10" s="57" t="n">
        <f aca="false">Supuestos!$C$17*(1+Supuestos!$C$36)^8*Estacionalidad!C$12</f>
        <v>1546742780.3933</v>
      </c>
      <c r="BL10" s="57" t="n">
        <f aca="false">Supuestos!$C$17*(1+Supuestos!$C$36)^8*Estacionalidad!D$12</f>
        <v>1723513383.86682</v>
      </c>
      <c r="BM10" s="57" t="n">
        <f aca="false">Supuestos!$C$17*(1+Supuestos!$C$36)^8*Estacionalidad!E$12</f>
        <v>1900283987.34034</v>
      </c>
      <c r="BN10" s="57" t="n">
        <f aca="false">Supuestos!$C$17*(1+Supuestos!$C$36)^8*Estacionalidad!F$12</f>
        <v>1900283987.34034</v>
      </c>
      <c r="BO10" s="57" t="n">
        <f aca="false">Supuestos!$C$17*(1+Supuestos!$C$36)^8*Estacionalidad!G$12</f>
        <v>1900283987.34034</v>
      </c>
      <c r="BP10" s="57" t="n">
        <f aca="false">Supuestos!$C$17*(1+Supuestos!$C$36)^8*Estacionalidad!H$12</f>
        <v>1900283987.34034</v>
      </c>
      <c r="BQ10" s="57" t="n">
        <f aca="false">Supuestos!$C$17*(1+Supuestos!$C$36)^8*Estacionalidad!I$12</f>
        <v>1900283987.34034</v>
      </c>
      <c r="BR10" s="57" t="n">
        <f aca="false">Supuestos!$C$17*(1+Supuestos!$C$36)^8*Estacionalidad!J$12</f>
        <v>1900283987.34034</v>
      </c>
      <c r="BS10" s="57" t="n">
        <f aca="false">Supuestos!$C$17*(1+Supuestos!$C$36)^8*Estacionalidad!K$12</f>
        <v>1900283987.34034</v>
      </c>
      <c r="BT10" s="57" t="n">
        <f aca="false">Supuestos!$C$17*(1+Supuestos!$C$36)^8*Estacionalidad!L$12</f>
        <v>1944476638.20872</v>
      </c>
      <c r="BU10" s="57" t="n">
        <f aca="false">Supuestos!$C$17*(1+Supuestos!$C$36)^8*Estacionalidad!M$12</f>
        <v>1944476638.20872</v>
      </c>
      <c r="BV10" s="57" t="n">
        <f aca="false">Supuestos!$C$17*(1+Supuestos!$C$36)^8*Estacionalidad!N$12</f>
        <v>1635128082.13006</v>
      </c>
      <c r="BW10" s="57" t="n">
        <f aca="false">Supuestos!$C$17*(1+Supuestos!$C$36)^9*Estacionalidad!C$12</f>
        <v>1546742780.3933</v>
      </c>
      <c r="BX10" s="57" t="n">
        <f aca="false">Supuestos!$C$17*(1+Supuestos!$C$36)^9*Estacionalidad!D$12</f>
        <v>1723513383.86682</v>
      </c>
      <c r="BY10" s="57" t="n">
        <f aca="false">Supuestos!$C$17*(1+Supuestos!$C$36)^9*Estacionalidad!E$12</f>
        <v>1900283987.34034</v>
      </c>
      <c r="BZ10" s="57" t="n">
        <f aca="false">Supuestos!$C$17*(1+Supuestos!$C$36)^9*Estacionalidad!F$12</f>
        <v>1900283987.34034</v>
      </c>
      <c r="CA10" s="57" t="n">
        <f aca="false">Supuestos!$C$17*(1+Supuestos!$C$36)^9*Estacionalidad!G$12</f>
        <v>1900283987.34034</v>
      </c>
      <c r="CB10" s="57" t="n">
        <f aca="false">Supuestos!$C$17*(1+Supuestos!$C$36)^9*Estacionalidad!H$12</f>
        <v>1900283987.34034</v>
      </c>
      <c r="CC10" s="57" t="n">
        <f aca="false">Supuestos!$C$17*(1+Supuestos!$C$36)^9*Estacionalidad!I$12</f>
        <v>1900283987.34034</v>
      </c>
      <c r="CD10" s="57" t="n">
        <f aca="false">Supuestos!$C$17*(1+Supuestos!$C$36)^9*Estacionalidad!J$12</f>
        <v>1900283987.34034</v>
      </c>
      <c r="CE10" s="57" t="n">
        <f aca="false">Supuestos!$C$17*(1+Supuestos!$C$36)^9*Estacionalidad!K$12</f>
        <v>1900283987.34034</v>
      </c>
      <c r="CF10" s="57" t="n">
        <f aca="false">Supuestos!$C$17*(1+Supuestos!$C$36)^9*Estacionalidad!L$12</f>
        <v>1944476638.20872</v>
      </c>
      <c r="CG10" s="57" t="n">
        <f aca="false">Supuestos!$C$17*(1+Supuestos!$C$36)^9*Estacionalidad!M$12</f>
        <v>1944476638.20872</v>
      </c>
      <c r="CH10" s="57" t="n">
        <f aca="false">Supuestos!$C$17*(1+Supuestos!$C$36)^9*Estacionalidad!N$12</f>
        <v>1635128082.13006</v>
      </c>
      <c r="CI10" s="57" t="n">
        <f aca="false">Supuestos!$C$17*(1+Supuestos!$C$36)^10*Estacionalidad!C$12</f>
        <v>1546742780.3933</v>
      </c>
      <c r="CJ10" s="57" t="n">
        <f aca="false">Supuestos!$C$17*(1+Supuestos!$C$36)^10*Estacionalidad!D$12</f>
        <v>1723513383.86682</v>
      </c>
      <c r="CK10" s="57" t="n">
        <f aca="false">Supuestos!$C$17*(1+Supuestos!$C$36)^10*Estacionalidad!E$12</f>
        <v>1900283987.34034</v>
      </c>
      <c r="CL10" s="57" t="n">
        <f aca="false">Supuestos!$C$17*(1+Supuestos!$C$36)^10*Estacionalidad!F$12</f>
        <v>1900283987.34034</v>
      </c>
      <c r="CM10" s="57" t="n">
        <f aca="false">Supuestos!$C$17*(1+Supuestos!$C$36)^10*Estacionalidad!G$12</f>
        <v>1900283987.34034</v>
      </c>
      <c r="CN10" s="57" t="n">
        <f aca="false">Supuestos!$C$17*(1+Supuestos!$C$36)^10*Estacionalidad!H$12</f>
        <v>1900283987.34034</v>
      </c>
      <c r="CO10" s="57" t="n">
        <f aca="false">Supuestos!$C$17*(1+Supuestos!$C$36)^10*Estacionalidad!I$12</f>
        <v>1900283987.34034</v>
      </c>
      <c r="CP10" s="57" t="n">
        <f aca="false">Supuestos!$C$17*(1+Supuestos!$C$36)^10*Estacionalidad!J$12</f>
        <v>1900283987.34034</v>
      </c>
      <c r="CQ10" s="57" t="n">
        <f aca="false">Supuestos!$C$17*(1+Supuestos!$C$36)^10*Estacionalidad!K$12</f>
        <v>1900283987.34034</v>
      </c>
      <c r="CR10" s="57" t="n">
        <f aca="false">Supuestos!$C$17*(1+Supuestos!$C$36)^10*Estacionalidad!L$12</f>
        <v>1944476638.20872</v>
      </c>
      <c r="CS10" s="57" t="n">
        <f aca="false">Supuestos!$C$17*(1+Supuestos!$C$36)^10*Estacionalidad!M$12</f>
        <v>1944476638.20872</v>
      </c>
      <c r="CT10" s="57" t="n">
        <f aca="false">Supuestos!$C$17*(1+Supuestos!$C$36)^10*Estacionalidad!N$12</f>
        <v>1635128082.13006</v>
      </c>
    </row>
    <row r="11" customFormat="false" ht="15" hidden="false" customHeight="true" outlineLevel="0" collapsed="false">
      <c r="B11" s="19" t="s">
        <v>570</v>
      </c>
      <c r="C11" s="57" t="n">
        <f aca="false">Supuestos!$C$19*(1+Supuestos!$C$36)^3*Estacionalidad!C$13</f>
        <v>8949754936.80414</v>
      </c>
      <c r="D11" s="57" t="n">
        <f aca="false">Supuestos!$C$19*(1+Supuestos!$C$36)^3*Estacionalidad!D$13</f>
        <v>9060245738.49308</v>
      </c>
      <c r="E11" s="57" t="n">
        <f aca="false">Supuestos!$C$19*(1+Supuestos!$C$36)^3*Estacionalidad!E$13</f>
        <v>9281227341.87096</v>
      </c>
      <c r="F11" s="57" t="n">
        <f aca="false">Supuestos!$C$19*(1+Supuestos!$C$36)^3*Estacionalidad!F$13</f>
        <v>9281227341.87096</v>
      </c>
      <c r="G11" s="57" t="n">
        <f aca="false">Supuestos!$C$19*(1+Supuestos!$C$36)^3*Estacionalidad!G$13</f>
        <v>9281227341.87096</v>
      </c>
      <c r="H11" s="57" t="n">
        <f aca="false">Supuestos!$C$19*(1+Supuestos!$C$36)^3*Estacionalidad!H$13</f>
        <v>9281227341.87096</v>
      </c>
      <c r="I11" s="57" t="n">
        <f aca="false">Supuestos!$C$19*(1+Supuestos!$C$36)^3*Estacionalidad!I$13</f>
        <v>9281227341.87096</v>
      </c>
      <c r="J11" s="57" t="n">
        <f aca="false">Supuestos!$C$19*(1+Supuestos!$C$36)^3*Estacionalidad!J$13</f>
        <v>9281227341.87096</v>
      </c>
      <c r="K11" s="57" t="n">
        <f aca="false">Supuestos!$C$19*(1+Supuestos!$C$36)^3*Estacionalidad!K$13</f>
        <v>9281227341.87096</v>
      </c>
      <c r="L11" s="57" t="n">
        <f aca="false">Supuestos!$C$19*(1+Supuestos!$C$36)^3*Estacionalidad!L$13</f>
        <v>9281227341.87096</v>
      </c>
      <c r="M11" s="57" t="n">
        <f aca="false">Supuestos!$C$19*(1+Supuestos!$C$36)^3*Estacionalidad!M$13</f>
        <v>9281227341.87096</v>
      </c>
      <c r="N11" s="57" t="n">
        <f aca="false">Supuestos!$C$19*(1+Supuestos!$C$36)^3*Estacionalidad!N$13</f>
        <v>8949754936.80414</v>
      </c>
      <c r="O11" s="57" t="n">
        <f aca="false">Supuestos!$C$19*(1+Supuestos!$C$36)^4*Estacionalidad!C$13</f>
        <v>8949754936.80414</v>
      </c>
      <c r="P11" s="57" t="n">
        <f aca="false">Supuestos!$C$19*(1+Supuestos!$C$36)^4*Estacionalidad!D$13</f>
        <v>9060245738.49308</v>
      </c>
      <c r="Q11" s="57" t="n">
        <f aca="false">Supuestos!$C$19*(1+Supuestos!$C$36)^4*Estacionalidad!E$13</f>
        <v>9281227341.87096</v>
      </c>
      <c r="R11" s="57" t="n">
        <f aca="false">Supuestos!$C$19*(1+Supuestos!$C$36)^4*Estacionalidad!F$13</f>
        <v>9281227341.87096</v>
      </c>
      <c r="S11" s="57" t="n">
        <f aca="false">Supuestos!$C$19*(1+Supuestos!$C$36)^4*Estacionalidad!G$13</f>
        <v>9281227341.87096</v>
      </c>
      <c r="T11" s="57" t="n">
        <f aca="false">Supuestos!$C$19*(1+Supuestos!$C$36)^4*Estacionalidad!H$13</f>
        <v>9281227341.87096</v>
      </c>
      <c r="U11" s="57" t="n">
        <f aca="false">Supuestos!$C$19*(1+Supuestos!$C$36)^4*Estacionalidad!I$13</f>
        <v>9281227341.87096</v>
      </c>
      <c r="V11" s="57" t="n">
        <f aca="false">Supuestos!$C$19*(1+Supuestos!$C$36)^4*Estacionalidad!J$13</f>
        <v>9281227341.87096</v>
      </c>
      <c r="W11" s="57" t="n">
        <f aca="false">Supuestos!$C$19*(1+Supuestos!$C$36)^4*Estacionalidad!K$13</f>
        <v>9281227341.87096</v>
      </c>
      <c r="X11" s="57" t="n">
        <f aca="false">Supuestos!$C$19*(1+Supuestos!$C$36)^4*Estacionalidad!L$13</f>
        <v>9281227341.87096</v>
      </c>
      <c r="Y11" s="57" t="n">
        <f aca="false">Supuestos!$C$19*(1+Supuestos!$C$36)^4*Estacionalidad!M$13</f>
        <v>9281227341.87096</v>
      </c>
      <c r="Z11" s="57" t="n">
        <f aca="false">Supuestos!$C$19*(1+Supuestos!$C$36)^4*Estacionalidad!N$13</f>
        <v>8949754936.80414</v>
      </c>
      <c r="AA11" s="57" t="n">
        <f aca="false">Supuestos!$C$19*(1+Supuestos!$C$36)^5*Estacionalidad!C$13</f>
        <v>8949754936.80414</v>
      </c>
      <c r="AB11" s="57" t="n">
        <f aca="false">Supuestos!$C$19*(1+Supuestos!$C$36)^5*Estacionalidad!D$13</f>
        <v>9060245738.49308</v>
      </c>
      <c r="AC11" s="57" t="n">
        <f aca="false">Supuestos!$C$19*(1+Supuestos!$C$36)^5*Estacionalidad!E$13</f>
        <v>9281227341.87096</v>
      </c>
      <c r="AD11" s="57" t="n">
        <f aca="false">Supuestos!$C$19*(1+Supuestos!$C$36)^5*Estacionalidad!F$13</f>
        <v>9281227341.87096</v>
      </c>
      <c r="AE11" s="57" t="n">
        <f aca="false">Supuestos!$C$19*(1+Supuestos!$C$36)^5*Estacionalidad!G$13</f>
        <v>9281227341.87096</v>
      </c>
      <c r="AF11" s="57" t="n">
        <f aca="false">Supuestos!$C$19*(1+Supuestos!$C$36)^5*Estacionalidad!H$13</f>
        <v>9281227341.87096</v>
      </c>
      <c r="AG11" s="57" t="n">
        <f aca="false">Supuestos!$C$19*(1+Supuestos!$C$36)^5*Estacionalidad!I$13</f>
        <v>9281227341.87096</v>
      </c>
      <c r="AH11" s="57" t="n">
        <f aca="false">Supuestos!$C$19*(1+Supuestos!$C$36)^5*Estacionalidad!J$13</f>
        <v>9281227341.87096</v>
      </c>
      <c r="AI11" s="57" t="n">
        <f aca="false">Supuestos!$C$19*(1+Supuestos!$C$36)^5*Estacionalidad!K$13</f>
        <v>9281227341.87096</v>
      </c>
      <c r="AJ11" s="57" t="n">
        <f aca="false">Supuestos!$C$19*(1+Supuestos!$C$36)^5*Estacionalidad!L$13</f>
        <v>9281227341.87096</v>
      </c>
      <c r="AK11" s="57" t="n">
        <f aca="false">Supuestos!$C$19*(1+Supuestos!$C$36)^5*Estacionalidad!M$13</f>
        <v>9281227341.87096</v>
      </c>
      <c r="AL11" s="57" t="n">
        <f aca="false">Supuestos!$C$19*(1+Supuestos!$C$36)^5*Estacionalidad!N$13</f>
        <v>8949754936.80414</v>
      </c>
      <c r="AM11" s="57" t="n">
        <f aca="false">Supuestos!$C$19*(1+Supuestos!$C$36)^6*Estacionalidad!C$13</f>
        <v>8949754936.80414</v>
      </c>
      <c r="AN11" s="57" t="n">
        <f aca="false">Supuestos!$C$19*(1+Supuestos!$C$36)^6*Estacionalidad!D$13</f>
        <v>9060245738.49308</v>
      </c>
      <c r="AO11" s="57" t="n">
        <f aca="false">Supuestos!$C$19*(1+Supuestos!$C$36)^6*Estacionalidad!E$13</f>
        <v>9281227341.87096</v>
      </c>
      <c r="AP11" s="57" t="n">
        <f aca="false">Supuestos!$C$19*(1+Supuestos!$C$36)^6*Estacionalidad!F$13</f>
        <v>9281227341.87096</v>
      </c>
      <c r="AQ11" s="57" t="n">
        <f aca="false">Supuestos!$C$19*(1+Supuestos!$C$36)^6*Estacionalidad!G$13</f>
        <v>9281227341.87096</v>
      </c>
      <c r="AR11" s="57" t="n">
        <f aca="false">Supuestos!$C$19*(1+Supuestos!$C$36)^6*Estacionalidad!H$13</f>
        <v>9281227341.87096</v>
      </c>
      <c r="AS11" s="57" t="n">
        <f aca="false">Supuestos!$C$19*(1+Supuestos!$C$36)^6*Estacionalidad!I$13</f>
        <v>9281227341.87096</v>
      </c>
      <c r="AT11" s="57" t="n">
        <f aca="false">Supuestos!$C$19*(1+Supuestos!$C$36)^6*Estacionalidad!J$13</f>
        <v>9281227341.87096</v>
      </c>
      <c r="AU11" s="57" t="n">
        <f aca="false">Supuestos!$C$19*(1+Supuestos!$C$36)^6*Estacionalidad!K$13</f>
        <v>9281227341.87096</v>
      </c>
      <c r="AV11" s="57" t="n">
        <f aca="false">Supuestos!$C$19*(1+Supuestos!$C$36)^6*Estacionalidad!L$13</f>
        <v>9281227341.87096</v>
      </c>
      <c r="AW11" s="57" t="n">
        <f aca="false">Supuestos!$C$19*(1+Supuestos!$C$36)^6*Estacionalidad!M$13</f>
        <v>9281227341.87096</v>
      </c>
      <c r="AX11" s="57" t="n">
        <f aca="false">Supuestos!$C$19*(1+Supuestos!$C$36)^6*Estacionalidad!N$13</f>
        <v>8949754936.80414</v>
      </c>
      <c r="AY11" s="57" t="n">
        <f aca="false">Supuestos!$C$19*(1+Supuestos!$C$36)^7*Estacionalidad!C$13</f>
        <v>8949754936.80414</v>
      </c>
      <c r="AZ11" s="57" t="n">
        <f aca="false">Supuestos!$C$19*(1+Supuestos!$C$36)^7*Estacionalidad!D$13</f>
        <v>9060245738.49308</v>
      </c>
      <c r="BA11" s="57" t="n">
        <f aca="false">Supuestos!$C$19*(1+Supuestos!$C$36)^7*Estacionalidad!E$13</f>
        <v>9281227341.87096</v>
      </c>
      <c r="BB11" s="57" t="n">
        <f aca="false">Supuestos!$C$19*(1+Supuestos!$C$36)^7*Estacionalidad!F$13</f>
        <v>9281227341.87096</v>
      </c>
      <c r="BC11" s="57" t="n">
        <f aca="false">Supuestos!$C$19*(1+Supuestos!$C$36)^7*Estacionalidad!G$13</f>
        <v>9281227341.87096</v>
      </c>
      <c r="BD11" s="57" t="n">
        <f aca="false">Supuestos!$C$19*(1+Supuestos!$C$36)^7*Estacionalidad!H$13</f>
        <v>9281227341.87096</v>
      </c>
      <c r="BE11" s="57" t="n">
        <f aca="false">Supuestos!$C$19*(1+Supuestos!$C$36)^7*Estacionalidad!I$13</f>
        <v>9281227341.87096</v>
      </c>
      <c r="BF11" s="57" t="n">
        <f aca="false">Supuestos!$C$19*(1+Supuestos!$C$36)^7*Estacionalidad!J$13</f>
        <v>9281227341.87096</v>
      </c>
      <c r="BG11" s="57" t="n">
        <f aca="false">Supuestos!$C$19*(1+Supuestos!$C$36)^7*Estacionalidad!K$13</f>
        <v>9281227341.87096</v>
      </c>
      <c r="BH11" s="57" t="n">
        <f aca="false">Supuestos!$C$19*(1+Supuestos!$C$36)^7*Estacionalidad!L$13</f>
        <v>9281227341.87096</v>
      </c>
      <c r="BI11" s="57" t="n">
        <f aca="false">Supuestos!$C$19*(1+Supuestos!$C$36)^7*Estacionalidad!M$13</f>
        <v>9281227341.87096</v>
      </c>
      <c r="BJ11" s="57" t="n">
        <f aca="false">Supuestos!$C$19*(1+Supuestos!$C$36)^7*Estacionalidad!N$13</f>
        <v>8949754936.80414</v>
      </c>
      <c r="BK11" s="57" t="n">
        <f aca="false">Supuestos!$C$19*(1+Supuestos!$C$36)^8*Estacionalidad!C$13</f>
        <v>8949754936.80414</v>
      </c>
      <c r="BL11" s="57" t="n">
        <f aca="false">Supuestos!$C$19*(1+Supuestos!$C$36)^8*Estacionalidad!D$13</f>
        <v>9060245738.49308</v>
      </c>
      <c r="BM11" s="57" t="n">
        <f aca="false">Supuestos!$C$19*(1+Supuestos!$C$36)^8*Estacionalidad!E$13</f>
        <v>9281227341.87096</v>
      </c>
      <c r="BN11" s="57" t="n">
        <f aca="false">Supuestos!$C$19*(1+Supuestos!$C$36)^8*Estacionalidad!F$13</f>
        <v>9281227341.87096</v>
      </c>
      <c r="BO11" s="57" t="n">
        <f aca="false">Supuestos!$C$19*(1+Supuestos!$C$36)^8*Estacionalidad!G$13</f>
        <v>9281227341.87096</v>
      </c>
      <c r="BP11" s="57" t="n">
        <f aca="false">Supuestos!$C$19*(1+Supuestos!$C$36)^8*Estacionalidad!H$13</f>
        <v>9281227341.87096</v>
      </c>
      <c r="BQ11" s="57" t="n">
        <f aca="false">Supuestos!$C$19*(1+Supuestos!$C$36)^8*Estacionalidad!I$13</f>
        <v>9281227341.87096</v>
      </c>
      <c r="BR11" s="57" t="n">
        <f aca="false">Supuestos!$C$19*(1+Supuestos!$C$36)^8*Estacionalidad!J$13</f>
        <v>9281227341.87096</v>
      </c>
      <c r="BS11" s="57" t="n">
        <f aca="false">Supuestos!$C$19*(1+Supuestos!$C$36)^8*Estacionalidad!K$13</f>
        <v>9281227341.87096</v>
      </c>
      <c r="BT11" s="57" t="n">
        <f aca="false">Supuestos!$C$19*(1+Supuestos!$C$36)^8*Estacionalidad!L$13</f>
        <v>9281227341.87096</v>
      </c>
      <c r="BU11" s="57" t="n">
        <f aca="false">Supuestos!$C$19*(1+Supuestos!$C$36)^8*Estacionalidad!M$13</f>
        <v>9281227341.87096</v>
      </c>
      <c r="BV11" s="57" t="n">
        <f aca="false">Supuestos!$C$19*(1+Supuestos!$C$36)^8*Estacionalidad!N$13</f>
        <v>8949754936.80414</v>
      </c>
      <c r="BW11" s="57" t="n">
        <f aca="false">Supuestos!$C$19*(1+Supuestos!$C$36)^9*Estacionalidad!C$13</f>
        <v>8949754936.80414</v>
      </c>
      <c r="BX11" s="57" t="n">
        <f aca="false">Supuestos!$C$19*(1+Supuestos!$C$36)^9*Estacionalidad!D$13</f>
        <v>9060245738.49308</v>
      </c>
      <c r="BY11" s="57" t="n">
        <f aca="false">Supuestos!$C$19*(1+Supuestos!$C$36)^9*Estacionalidad!E$13</f>
        <v>9281227341.87096</v>
      </c>
      <c r="BZ11" s="57" t="n">
        <f aca="false">Supuestos!$C$19*(1+Supuestos!$C$36)^9*Estacionalidad!F$13</f>
        <v>9281227341.87096</v>
      </c>
      <c r="CA11" s="57" t="n">
        <f aca="false">Supuestos!$C$19*(1+Supuestos!$C$36)^9*Estacionalidad!G$13</f>
        <v>9281227341.87096</v>
      </c>
      <c r="CB11" s="57" t="n">
        <f aca="false">Supuestos!$C$19*(1+Supuestos!$C$36)^9*Estacionalidad!H$13</f>
        <v>9281227341.87096</v>
      </c>
      <c r="CC11" s="57" t="n">
        <f aca="false">Supuestos!$C$19*(1+Supuestos!$C$36)^9*Estacionalidad!I$13</f>
        <v>9281227341.87096</v>
      </c>
      <c r="CD11" s="57" t="n">
        <f aca="false">Supuestos!$C$19*(1+Supuestos!$C$36)^9*Estacionalidad!J$13</f>
        <v>9281227341.87096</v>
      </c>
      <c r="CE11" s="57" t="n">
        <f aca="false">Supuestos!$C$19*(1+Supuestos!$C$36)^9*Estacionalidad!K$13</f>
        <v>9281227341.87096</v>
      </c>
      <c r="CF11" s="57" t="n">
        <f aca="false">Supuestos!$C$19*(1+Supuestos!$C$36)^9*Estacionalidad!L$13</f>
        <v>9281227341.87096</v>
      </c>
      <c r="CG11" s="57" t="n">
        <f aca="false">Supuestos!$C$19*(1+Supuestos!$C$36)^9*Estacionalidad!M$13</f>
        <v>9281227341.87096</v>
      </c>
      <c r="CH11" s="57" t="n">
        <f aca="false">Supuestos!$C$19*(1+Supuestos!$C$36)^9*Estacionalidad!N$13</f>
        <v>8949754936.80414</v>
      </c>
      <c r="CI11" s="57" t="n">
        <f aca="false">Supuestos!$C$19*(1+Supuestos!$C$36)^10*Estacionalidad!C$13</f>
        <v>8949754936.80414</v>
      </c>
      <c r="CJ11" s="57" t="n">
        <f aca="false">Supuestos!$C$19*(1+Supuestos!$C$36)^10*Estacionalidad!D$13</f>
        <v>9060245738.49308</v>
      </c>
      <c r="CK11" s="57" t="n">
        <f aca="false">Supuestos!$C$19*(1+Supuestos!$C$36)^10*Estacionalidad!E$13</f>
        <v>9281227341.87096</v>
      </c>
      <c r="CL11" s="57" t="n">
        <f aca="false">Supuestos!$C$19*(1+Supuestos!$C$36)^10*Estacionalidad!F$13</f>
        <v>9281227341.87096</v>
      </c>
      <c r="CM11" s="57" t="n">
        <f aca="false">Supuestos!$C$19*(1+Supuestos!$C$36)^10*Estacionalidad!G$13</f>
        <v>9281227341.87096</v>
      </c>
      <c r="CN11" s="57" t="n">
        <f aca="false">Supuestos!$C$19*(1+Supuestos!$C$36)^10*Estacionalidad!H$13</f>
        <v>9281227341.87096</v>
      </c>
      <c r="CO11" s="57" t="n">
        <f aca="false">Supuestos!$C$19*(1+Supuestos!$C$36)^10*Estacionalidad!I$13</f>
        <v>9281227341.87096</v>
      </c>
      <c r="CP11" s="57" t="n">
        <f aca="false">Supuestos!$C$19*(1+Supuestos!$C$36)^10*Estacionalidad!J$13</f>
        <v>9281227341.87096</v>
      </c>
      <c r="CQ11" s="57" t="n">
        <f aca="false">Supuestos!$C$19*(1+Supuestos!$C$36)^10*Estacionalidad!K$13</f>
        <v>9281227341.87096</v>
      </c>
      <c r="CR11" s="57" t="n">
        <f aca="false">Supuestos!$C$19*(1+Supuestos!$C$36)^10*Estacionalidad!L$13</f>
        <v>9281227341.87096</v>
      </c>
      <c r="CS11" s="57" t="n">
        <f aca="false">Supuestos!$C$19*(1+Supuestos!$C$36)^10*Estacionalidad!M$13</f>
        <v>9281227341.87096</v>
      </c>
      <c r="CT11" s="57" t="n">
        <f aca="false">Supuestos!$C$19*(1+Supuestos!$C$36)^10*Estacionalidad!N$13</f>
        <v>8949754936.80414</v>
      </c>
    </row>
    <row r="12" customFormat="false" ht="15" hidden="false" customHeight="true" outlineLevel="0" collapsed="false">
      <c r="B12" s="65" t="s">
        <v>571</v>
      </c>
      <c r="C12" s="66" t="n">
        <f aca="false">Vecinal!C$8</f>
        <v>1734471280.5078</v>
      </c>
      <c r="D12" s="66" t="n">
        <f aca="false">Vecinal!D$8</f>
        <v>2312628374.0104</v>
      </c>
      <c r="E12" s="66" t="n">
        <f aca="false">Vecinal!E$8</f>
        <v>4625256748.0208</v>
      </c>
      <c r="F12" s="66" t="n">
        <f aca="false">Vecinal!F$8</f>
        <v>5203413841.5234</v>
      </c>
      <c r="G12" s="66" t="n">
        <f aca="false">Vecinal!G$8</f>
        <v>5781570935.026</v>
      </c>
      <c r="H12" s="66" t="n">
        <f aca="false">Vecinal!H$8</f>
        <v>5781570935.026</v>
      </c>
      <c r="I12" s="66" t="n">
        <f aca="false">Vecinal!I$8</f>
        <v>5781570935.026</v>
      </c>
      <c r="J12" s="66" t="n">
        <f aca="false">Vecinal!J$8</f>
        <v>5781570935.026</v>
      </c>
      <c r="K12" s="66" t="n">
        <f aca="false">Vecinal!K$8</f>
        <v>5781570935.026</v>
      </c>
      <c r="L12" s="66" t="n">
        <f aca="false">Vecinal!L$8</f>
        <v>5781570935.026</v>
      </c>
      <c r="M12" s="66" t="n">
        <f aca="false">Vecinal!M$8</f>
        <v>5203413841.5234</v>
      </c>
      <c r="N12" s="66" t="n">
        <f aca="false">Vecinal!N$8</f>
        <v>4047099654.5182</v>
      </c>
      <c r="O12" s="66" t="n">
        <f aca="false">Vecinal!O$8</f>
        <v>1734471280.5078</v>
      </c>
      <c r="P12" s="66" t="n">
        <f aca="false">Vecinal!P$8</f>
        <v>2312628374.0104</v>
      </c>
      <c r="Q12" s="66" t="n">
        <f aca="false">Vecinal!Q$8</f>
        <v>4625256748.0208</v>
      </c>
      <c r="R12" s="66" t="n">
        <f aca="false">Vecinal!R$8</f>
        <v>5203413841.5234</v>
      </c>
      <c r="S12" s="66" t="n">
        <f aca="false">Vecinal!S$8</f>
        <v>5781570935.026</v>
      </c>
      <c r="T12" s="66" t="n">
        <f aca="false">Vecinal!T$8</f>
        <v>5781570935.026</v>
      </c>
      <c r="U12" s="66" t="n">
        <f aca="false">Vecinal!U$8</f>
        <v>5781570935.026</v>
      </c>
      <c r="V12" s="66" t="n">
        <f aca="false">Vecinal!V$8</f>
        <v>5781570935.026</v>
      </c>
      <c r="W12" s="66" t="n">
        <f aca="false">Vecinal!W$8</f>
        <v>5781570935.026</v>
      </c>
      <c r="X12" s="66" t="n">
        <f aca="false">Vecinal!X$8</f>
        <v>5781570935.026</v>
      </c>
      <c r="Y12" s="66" t="n">
        <f aca="false">Vecinal!Y$8</f>
        <v>5203413841.5234</v>
      </c>
      <c r="Z12" s="66" t="n">
        <f aca="false">Vecinal!Z$8</f>
        <v>4047099654.5182</v>
      </c>
      <c r="AA12" s="66" t="n">
        <f aca="false">Vecinal!AA$8</f>
        <v>1734471280.5078</v>
      </c>
      <c r="AB12" s="66" t="n">
        <f aca="false">Vecinal!AB$8</f>
        <v>2312628374.0104</v>
      </c>
      <c r="AC12" s="66" t="n">
        <f aca="false">Vecinal!AC$8</f>
        <v>4625256748.0208</v>
      </c>
      <c r="AD12" s="66" t="n">
        <f aca="false">Vecinal!AD$8</f>
        <v>5203413841.5234</v>
      </c>
      <c r="AE12" s="66" t="n">
        <f aca="false">Vecinal!AE$8</f>
        <v>5781570935.026</v>
      </c>
      <c r="AF12" s="66" t="n">
        <f aca="false">Vecinal!AF$8</f>
        <v>5781570935.026</v>
      </c>
      <c r="AG12" s="66" t="n">
        <f aca="false">Vecinal!AG$8</f>
        <v>5781570935.026</v>
      </c>
      <c r="AH12" s="66" t="n">
        <f aca="false">Vecinal!AH$8</f>
        <v>5781570935.026</v>
      </c>
      <c r="AI12" s="66" t="n">
        <f aca="false">Vecinal!AI$8</f>
        <v>5781570935.026</v>
      </c>
      <c r="AJ12" s="66" t="n">
        <f aca="false">Vecinal!AJ$8</f>
        <v>5781570935.026</v>
      </c>
      <c r="AK12" s="66" t="n">
        <f aca="false">Vecinal!AK$8</f>
        <v>5203413841.5234</v>
      </c>
      <c r="AL12" s="66" t="n">
        <f aca="false">Vecinal!AL$8</f>
        <v>4047099654.5182</v>
      </c>
      <c r="AM12" s="66" t="n">
        <f aca="false">Vecinal!AM$8</f>
        <v>1734471280.5078</v>
      </c>
      <c r="AN12" s="66" t="n">
        <f aca="false">Vecinal!AN$8</f>
        <v>2312628374.0104</v>
      </c>
      <c r="AO12" s="66" t="n">
        <f aca="false">Vecinal!AO$8</f>
        <v>4625256748.0208</v>
      </c>
      <c r="AP12" s="66" t="n">
        <f aca="false">Vecinal!AP$8</f>
        <v>5203413841.5234</v>
      </c>
      <c r="AQ12" s="66" t="n">
        <f aca="false">Vecinal!AQ$8</f>
        <v>5781570935.026</v>
      </c>
      <c r="AR12" s="66" t="n">
        <f aca="false">Vecinal!AR$8</f>
        <v>5781570935.026</v>
      </c>
      <c r="AS12" s="66" t="n">
        <f aca="false">Vecinal!AS$8</f>
        <v>5781570935.026</v>
      </c>
      <c r="AT12" s="66" t="n">
        <f aca="false">Vecinal!AT$8</f>
        <v>5781570935.026</v>
      </c>
      <c r="AU12" s="66" t="n">
        <f aca="false">Vecinal!AU$8</f>
        <v>5781570935.026</v>
      </c>
      <c r="AV12" s="66" t="n">
        <f aca="false">Vecinal!AV$8</f>
        <v>5781570935.026</v>
      </c>
      <c r="AW12" s="66" t="n">
        <f aca="false">Vecinal!AW$8</f>
        <v>5203413841.5234</v>
      </c>
      <c r="AX12" s="66" t="n">
        <f aca="false">Vecinal!AX$8</f>
        <v>4047099654.5182</v>
      </c>
      <c r="AY12" s="66" t="n">
        <f aca="false">Vecinal!AY$8</f>
        <v>1734471280.5078</v>
      </c>
      <c r="AZ12" s="66" t="n">
        <f aca="false">Vecinal!AZ$8</f>
        <v>2312628374.0104</v>
      </c>
      <c r="BA12" s="66" t="n">
        <f aca="false">Vecinal!BA$8</f>
        <v>4625256748.0208</v>
      </c>
      <c r="BB12" s="66" t="n">
        <f aca="false">Vecinal!BB$8</f>
        <v>5203413841.5234</v>
      </c>
      <c r="BC12" s="66" t="n">
        <f aca="false">Vecinal!BC$8</f>
        <v>5781570935.026</v>
      </c>
      <c r="BD12" s="66" t="n">
        <f aca="false">Vecinal!BD$8</f>
        <v>5781570935.026</v>
      </c>
      <c r="BE12" s="66" t="n">
        <f aca="false">Vecinal!BE$8</f>
        <v>5781570935.026</v>
      </c>
      <c r="BF12" s="66" t="n">
        <f aca="false">Vecinal!BF$8</f>
        <v>5781570935.026</v>
      </c>
      <c r="BG12" s="66" t="n">
        <f aca="false">Vecinal!BG$8</f>
        <v>5781570935.026</v>
      </c>
      <c r="BH12" s="66" t="n">
        <f aca="false">Vecinal!BH$8</f>
        <v>5781570935.026</v>
      </c>
      <c r="BI12" s="66" t="n">
        <f aca="false">Vecinal!BI$8</f>
        <v>5203413841.5234</v>
      </c>
      <c r="BJ12" s="66" t="n">
        <f aca="false">Vecinal!BJ$8</f>
        <v>4047099654.5182</v>
      </c>
      <c r="BK12" s="66" t="n">
        <f aca="false">Vecinal!BK$8</f>
        <v>1734471280.5078</v>
      </c>
      <c r="BL12" s="66" t="n">
        <f aca="false">Vecinal!BL$8</f>
        <v>2312628374.0104</v>
      </c>
      <c r="BM12" s="66" t="n">
        <f aca="false">Vecinal!BM$8</f>
        <v>4625256748.0208</v>
      </c>
      <c r="BN12" s="66" t="n">
        <f aca="false">Vecinal!BN$8</f>
        <v>5203413841.5234</v>
      </c>
      <c r="BO12" s="66" t="n">
        <f aca="false">Vecinal!BO$8</f>
        <v>5781570935.026</v>
      </c>
      <c r="BP12" s="66" t="n">
        <f aca="false">Vecinal!BP$8</f>
        <v>5781570935.026</v>
      </c>
      <c r="BQ12" s="66" t="n">
        <f aca="false">Vecinal!BQ$8</f>
        <v>5781570935.026</v>
      </c>
      <c r="BR12" s="66" t="n">
        <f aca="false">Vecinal!BR$8</f>
        <v>5781570935.026</v>
      </c>
      <c r="BS12" s="66" t="n">
        <f aca="false">Vecinal!BS$8</f>
        <v>5781570935.026</v>
      </c>
      <c r="BT12" s="66" t="n">
        <f aca="false">Vecinal!BT$8</f>
        <v>5781570935.026</v>
      </c>
      <c r="BU12" s="66" t="n">
        <f aca="false">Vecinal!BU$8</f>
        <v>5203413841.5234</v>
      </c>
      <c r="BV12" s="66" t="n">
        <f aca="false">Vecinal!BV$8</f>
        <v>4047099654.5182</v>
      </c>
      <c r="BW12" s="66" t="n">
        <f aca="false">Vecinal!BW$8</f>
        <v>1734471280.5078</v>
      </c>
      <c r="BX12" s="66" t="n">
        <f aca="false">Vecinal!BX$8</f>
        <v>2312628374.0104</v>
      </c>
      <c r="BY12" s="66" t="n">
        <f aca="false">Vecinal!BY$8</f>
        <v>4625256748.0208</v>
      </c>
      <c r="BZ12" s="66" t="n">
        <f aca="false">Vecinal!BZ$8</f>
        <v>5203413841.5234</v>
      </c>
      <c r="CA12" s="66" t="n">
        <f aca="false">Vecinal!CA$8</f>
        <v>5781570935.026</v>
      </c>
      <c r="CB12" s="66" t="n">
        <f aca="false">Vecinal!CB$8</f>
        <v>5781570935.026</v>
      </c>
      <c r="CC12" s="66" t="n">
        <f aca="false">Vecinal!CC$8</f>
        <v>5781570935.026</v>
      </c>
      <c r="CD12" s="66" t="n">
        <f aca="false">Vecinal!CD$8</f>
        <v>5781570935.026</v>
      </c>
      <c r="CE12" s="66" t="n">
        <f aca="false">Vecinal!CE$8</f>
        <v>5781570935.026</v>
      </c>
      <c r="CF12" s="66" t="n">
        <f aca="false">Vecinal!CF$8</f>
        <v>5781570935.026</v>
      </c>
      <c r="CG12" s="66" t="n">
        <f aca="false">Vecinal!CG$8</f>
        <v>5203413841.5234</v>
      </c>
      <c r="CH12" s="66" t="n">
        <f aca="false">Vecinal!CH$8</f>
        <v>4047099654.5182</v>
      </c>
      <c r="CI12" s="66" t="n">
        <f aca="false">Vecinal!CI$8</f>
        <v>1734471280.5078</v>
      </c>
      <c r="CJ12" s="66" t="n">
        <f aca="false">Vecinal!CJ$8</f>
        <v>2312628374.0104</v>
      </c>
      <c r="CK12" s="66" t="n">
        <f aca="false">Vecinal!CK$8</f>
        <v>4625256748.0208</v>
      </c>
      <c r="CL12" s="66" t="n">
        <f aca="false">Vecinal!CL$8</f>
        <v>5203413841.5234</v>
      </c>
      <c r="CM12" s="66" t="n">
        <f aca="false">Vecinal!CM$8</f>
        <v>5781570935.026</v>
      </c>
      <c r="CN12" s="66" t="n">
        <f aca="false">Vecinal!CN$8</f>
        <v>5781570935.026</v>
      </c>
      <c r="CO12" s="66" t="n">
        <f aca="false">Vecinal!CO$8</f>
        <v>5781570935.026</v>
      </c>
      <c r="CP12" s="66" t="n">
        <f aca="false">Vecinal!CP$8</f>
        <v>5781570935.026</v>
      </c>
      <c r="CQ12" s="66" t="n">
        <f aca="false">Vecinal!CQ$8</f>
        <v>5781570935.026</v>
      </c>
      <c r="CR12" s="66" t="n">
        <f aca="false">Vecinal!CR$8</f>
        <v>5781570935.026</v>
      </c>
      <c r="CS12" s="66" t="n">
        <f aca="false">Vecinal!CS$8</f>
        <v>5203413841.5234</v>
      </c>
      <c r="CT12" s="66" t="n">
        <f aca="false">Vecinal!CT$8</f>
        <v>4047099654.5182</v>
      </c>
    </row>
    <row r="13" customFormat="false" ht="15" hidden="false" customHeight="true" outlineLevel="0" collapsed="false">
      <c r="B13" s="19" t="s">
        <v>572</v>
      </c>
      <c r="C13" s="57" t="n">
        <f aca="false">Supuestos!$C$23*(1+Supuestos!$C$36)^3*Estacionalidad!C$15</f>
        <v>603622498.521667</v>
      </c>
      <c r="D13" s="57" t="n">
        <f aca="false">Supuestos!$C$23*(1+Supuestos!$C$36)^3*Estacionalidad!D$15</f>
        <v>603622498.521667</v>
      </c>
      <c r="E13" s="57" t="n">
        <f aca="false">Supuestos!$C$23*(1+Supuestos!$C$36)^3*Estacionalidad!E$15</f>
        <v>603622498.521667</v>
      </c>
      <c r="F13" s="57" t="n">
        <f aca="false">Supuestos!$C$23*(1+Supuestos!$C$36)^3*Estacionalidad!F$15</f>
        <v>603622498.521667</v>
      </c>
      <c r="G13" s="57" t="n">
        <f aca="false">Supuestos!$C$23*(1+Supuestos!$C$36)^3*Estacionalidad!G$15</f>
        <v>603622498.521667</v>
      </c>
      <c r="H13" s="57" t="n">
        <f aca="false">Supuestos!$C$23*(1+Supuestos!$C$36)^3*Estacionalidad!H$15</f>
        <v>603622498.521667</v>
      </c>
      <c r="I13" s="57" t="n">
        <f aca="false">Supuestos!$C$23*(1+Supuestos!$C$36)^3*Estacionalidad!I$15</f>
        <v>603622498.521667</v>
      </c>
      <c r="J13" s="57" t="n">
        <f aca="false">Supuestos!$C$23*(1+Supuestos!$C$36)^3*Estacionalidad!J$15</f>
        <v>603622498.521667</v>
      </c>
      <c r="K13" s="57" t="n">
        <f aca="false">Supuestos!$C$23*(1+Supuestos!$C$36)^3*Estacionalidad!K$15</f>
        <v>603622498.521667</v>
      </c>
      <c r="L13" s="57" t="n">
        <f aca="false">Supuestos!$C$23*(1+Supuestos!$C$36)^3*Estacionalidad!L$15</f>
        <v>603622498.521667</v>
      </c>
      <c r="M13" s="57" t="n">
        <f aca="false">Supuestos!$C$23*(1+Supuestos!$C$36)^3*Estacionalidad!M$15</f>
        <v>603622498.521667</v>
      </c>
      <c r="N13" s="57" t="n">
        <f aca="false">Supuestos!$C$23*(1+Supuestos!$C$36)^3*Estacionalidad!N$15</f>
        <v>603622498.521667</v>
      </c>
      <c r="O13" s="57" t="n">
        <f aca="false">Supuestos!$C$23*(1+Supuestos!$C$36)^4*Estacionalidad!C$15</f>
        <v>603622498.521667</v>
      </c>
      <c r="P13" s="57" t="n">
        <f aca="false">Supuestos!$C$23*(1+Supuestos!$C$36)^4*Estacionalidad!D$15</f>
        <v>603622498.521667</v>
      </c>
      <c r="Q13" s="57" t="n">
        <f aca="false">Supuestos!$C$23*(1+Supuestos!$C$36)^4*Estacionalidad!E$15</f>
        <v>603622498.521667</v>
      </c>
      <c r="R13" s="57" t="n">
        <f aca="false">Supuestos!$C$23*(1+Supuestos!$C$36)^4*Estacionalidad!F$15</f>
        <v>603622498.521667</v>
      </c>
      <c r="S13" s="57" t="n">
        <f aca="false">Supuestos!$C$23*(1+Supuestos!$C$36)^4*Estacionalidad!G$15</f>
        <v>603622498.521667</v>
      </c>
      <c r="T13" s="57" t="n">
        <f aca="false">Supuestos!$C$23*(1+Supuestos!$C$36)^4*Estacionalidad!H$15</f>
        <v>603622498.521667</v>
      </c>
      <c r="U13" s="57" t="n">
        <f aca="false">Supuestos!$C$23*(1+Supuestos!$C$36)^4*Estacionalidad!I$15</f>
        <v>603622498.521667</v>
      </c>
      <c r="V13" s="57" t="n">
        <f aca="false">Supuestos!$C$23*(1+Supuestos!$C$36)^4*Estacionalidad!J$15</f>
        <v>603622498.521667</v>
      </c>
      <c r="W13" s="57" t="n">
        <f aca="false">Supuestos!$C$23*(1+Supuestos!$C$36)^4*Estacionalidad!K$15</f>
        <v>603622498.521667</v>
      </c>
      <c r="X13" s="57" t="n">
        <f aca="false">Supuestos!$C$23*(1+Supuestos!$C$36)^4*Estacionalidad!L$15</f>
        <v>603622498.521667</v>
      </c>
      <c r="Y13" s="57" t="n">
        <f aca="false">Supuestos!$C$23*(1+Supuestos!$C$36)^4*Estacionalidad!M$15</f>
        <v>603622498.521667</v>
      </c>
      <c r="Z13" s="57" t="n">
        <f aca="false">Supuestos!$C$23*(1+Supuestos!$C$36)^4*Estacionalidad!N$15</f>
        <v>603622498.521667</v>
      </c>
      <c r="AA13" s="57" t="n">
        <f aca="false">Supuestos!$C$23*(1+Supuestos!$C$36)^5*Estacionalidad!C$15</f>
        <v>603622498.521667</v>
      </c>
      <c r="AB13" s="57" t="n">
        <f aca="false">Supuestos!$C$23*(1+Supuestos!$C$36)^5*Estacionalidad!D$15</f>
        <v>603622498.521667</v>
      </c>
      <c r="AC13" s="57" t="n">
        <f aca="false">Supuestos!$C$23*(1+Supuestos!$C$36)^5*Estacionalidad!E$15</f>
        <v>603622498.521667</v>
      </c>
      <c r="AD13" s="57" t="n">
        <f aca="false">Supuestos!$C$23*(1+Supuestos!$C$36)^5*Estacionalidad!F$15</f>
        <v>603622498.521667</v>
      </c>
      <c r="AE13" s="57" t="n">
        <f aca="false">Supuestos!$C$23*(1+Supuestos!$C$36)^5*Estacionalidad!G$15</f>
        <v>603622498.521667</v>
      </c>
      <c r="AF13" s="57" t="n">
        <f aca="false">Supuestos!$C$23*(1+Supuestos!$C$36)^5*Estacionalidad!H$15</f>
        <v>603622498.521667</v>
      </c>
      <c r="AG13" s="57" t="n">
        <f aca="false">Supuestos!$C$23*(1+Supuestos!$C$36)^5*Estacionalidad!I$15</f>
        <v>603622498.521667</v>
      </c>
      <c r="AH13" s="57" t="n">
        <f aca="false">Supuestos!$C$23*(1+Supuestos!$C$36)^5*Estacionalidad!J$15</f>
        <v>603622498.521667</v>
      </c>
      <c r="AI13" s="57" t="n">
        <f aca="false">Supuestos!$C$23*(1+Supuestos!$C$36)^5*Estacionalidad!K$15</f>
        <v>603622498.521667</v>
      </c>
      <c r="AJ13" s="57" t="n">
        <f aca="false">Supuestos!$C$23*(1+Supuestos!$C$36)^5*Estacionalidad!L$15</f>
        <v>603622498.521667</v>
      </c>
      <c r="AK13" s="57" t="n">
        <f aca="false">Supuestos!$C$23*(1+Supuestos!$C$36)^5*Estacionalidad!M$15</f>
        <v>603622498.521667</v>
      </c>
      <c r="AL13" s="57" t="n">
        <f aca="false">Supuestos!$C$23*(1+Supuestos!$C$36)^5*Estacionalidad!N$15</f>
        <v>603622498.521667</v>
      </c>
      <c r="AM13" s="57" t="n">
        <f aca="false">Supuestos!$C$23*(1+Supuestos!$C$36)^6*Estacionalidad!C$15</f>
        <v>603622498.521667</v>
      </c>
      <c r="AN13" s="57" t="n">
        <f aca="false">Supuestos!$C$23*(1+Supuestos!$C$36)^6*Estacionalidad!D$15</f>
        <v>603622498.521667</v>
      </c>
      <c r="AO13" s="57" t="n">
        <f aca="false">Supuestos!$C$23*(1+Supuestos!$C$36)^6*Estacionalidad!E$15</f>
        <v>603622498.521667</v>
      </c>
      <c r="AP13" s="57" t="n">
        <f aca="false">Supuestos!$C$23*(1+Supuestos!$C$36)^6*Estacionalidad!F$15</f>
        <v>603622498.521667</v>
      </c>
      <c r="AQ13" s="57" t="n">
        <f aca="false">Supuestos!$C$23*(1+Supuestos!$C$36)^6*Estacionalidad!G$15</f>
        <v>603622498.521667</v>
      </c>
      <c r="AR13" s="57" t="n">
        <f aca="false">Supuestos!$C$23*(1+Supuestos!$C$36)^6*Estacionalidad!H$15</f>
        <v>603622498.521667</v>
      </c>
      <c r="AS13" s="57" t="n">
        <f aca="false">Supuestos!$C$23*(1+Supuestos!$C$36)^6*Estacionalidad!I$15</f>
        <v>603622498.521667</v>
      </c>
      <c r="AT13" s="57" t="n">
        <f aca="false">Supuestos!$C$23*(1+Supuestos!$C$36)^6*Estacionalidad!J$15</f>
        <v>603622498.521667</v>
      </c>
      <c r="AU13" s="57" t="n">
        <f aca="false">Supuestos!$C$23*(1+Supuestos!$C$36)^6*Estacionalidad!K$15</f>
        <v>603622498.521667</v>
      </c>
      <c r="AV13" s="57" t="n">
        <f aca="false">Supuestos!$C$23*(1+Supuestos!$C$36)^6*Estacionalidad!L$15</f>
        <v>603622498.521667</v>
      </c>
      <c r="AW13" s="57" t="n">
        <f aca="false">Supuestos!$C$23*(1+Supuestos!$C$36)^6*Estacionalidad!M$15</f>
        <v>603622498.521667</v>
      </c>
      <c r="AX13" s="57" t="n">
        <f aca="false">Supuestos!$C$23*(1+Supuestos!$C$36)^6*Estacionalidad!N$15</f>
        <v>603622498.521667</v>
      </c>
      <c r="AY13" s="57" t="n">
        <f aca="false">Supuestos!$C$23*(1+Supuestos!$C$36)^7*Estacionalidad!C$15</f>
        <v>603622498.521667</v>
      </c>
      <c r="AZ13" s="57" t="n">
        <f aca="false">Supuestos!$C$23*(1+Supuestos!$C$36)^7*Estacionalidad!D$15</f>
        <v>603622498.521667</v>
      </c>
      <c r="BA13" s="57" t="n">
        <f aca="false">Supuestos!$C$23*(1+Supuestos!$C$36)^7*Estacionalidad!E$15</f>
        <v>603622498.521667</v>
      </c>
      <c r="BB13" s="57" t="n">
        <f aca="false">Supuestos!$C$23*(1+Supuestos!$C$36)^7*Estacionalidad!F$15</f>
        <v>603622498.521667</v>
      </c>
      <c r="BC13" s="57" t="n">
        <f aca="false">Supuestos!$C$23*(1+Supuestos!$C$36)^7*Estacionalidad!G$15</f>
        <v>603622498.521667</v>
      </c>
      <c r="BD13" s="57" t="n">
        <f aca="false">Supuestos!$C$23*(1+Supuestos!$C$36)^7*Estacionalidad!H$15</f>
        <v>603622498.521667</v>
      </c>
      <c r="BE13" s="57" t="n">
        <f aca="false">Supuestos!$C$23*(1+Supuestos!$C$36)^7*Estacionalidad!I$15</f>
        <v>603622498.521667</v>
      </c>
      <c r="BF13" s="57" t="n">
        <f aca="false">Supuestos!$C$23*(1+Supuestos!$C$36)^7*Estacionalidad!J$15</f>
        <v>603622498.521667</v>
      </c>
      <c r="BG13" s="57" t="n">
        <f aca="false">Supuestos!$C$23*(1+Supuestos!$C$36)^7*Estacionalidad!K$15</f>
        <v>603622498.521667</v>
      </c>
      <c r="BH13" s="57" t="n">
        <f aca="false">Supuestos!$C$23*(1+Supuestos!$C$36)^7*Estacionalidad!L$15</f>
        <v>603622498.521667</v>
      </c>
      <c r="BI13" s="57" t="n">
        <f aca="false">Supuestos!$C$23*(1+Supuestos!$C$36)^7*Estacionalidad!M$15</f>
        <v>603622498.521667</v>
      </c>
      <c r="BJ13" s="57" t="n">
        <f aca="false">Supuestos!$C$23*(1+Supuestos!$C$36)^7*Estacionalidad!N$15</f>
        <v>603622498.521667</v>
      </c>
      <c r="BK13" s="57" t="n">
        <f aca="false">Supuestos!$C$23*(1+Supuestos!$C$36)^8*Estacionalidad!C$15</f>
        <v>603622498.521667</v>
      </c>
      <c r="BL13" s="57" t="n">
        <f aca="false">Supuestos!$C$23*(1+Supuestos!$C$36)^8*Estacionalidad!D$15</f>
        <v>603622498.521667</v>
      </c>
      <c r="BM13" s="57" t="n">
        <f aca="false">Supuestos!$C$23*(1+Supuestos!$C$36)^8*Estacionalidad!E$15</f>
        <v>603622498.521667</v>
      </c>
      <c r="BN13" s="57" t="n">
        <f aca="false">Supuestos!$C$23*(1+Supuestos!$C$36)^8*Estacionalidad!F$15</f>
        <v>603622498.521667</v>
      </c>
      <c r="BO13" s="57" t="n">
        <f aca="false">Supuestos!$C$23*(1+Supuestos!$C$36)^8*Estacionalidad!G$15</f>
        <v>603622498.521667</v>
      </c>
      <c r="BP13" s="57" t="n">
        <f aca="false">Supuestos!$C$23*(1+Supuestos!$C$36)^8*Estacionalidad!H$15</f>
        <v>603622498.521667</v>
      </c>
      <c r="BQ13" s="57" t="n">
        <f aca="false">Supuestos!$C$23*(1+Supuestos!$C$36)^8*Estacionalidad!I$15</f>
        <v>603622498.521667</v>
      </c>
      <c r="BR13" s="57" t="n">
        <f aca="false">Supuestos!$C$23*(1+Supuestos!$C$36)^8*Estacionalidad!J$15</f>
        <v>603622498.521667</v>
      </c>
      <c r="BS13" s="57" t="n">
        <f aca="false">Supuestos!$C$23*(1+Supuestos!$C$36)^8*Estacionalidad!K$15</f>
        <v>603622498.521667</v>
      </c>
      <c r="BT13" s="57" t="n">
        <f aca="false">Supuestos!$C$23*(1+Supuestos!$C$36)^8*Estacionalidad!L$15</f>
        <v>603622498.521667</v>
      </c>
      <c r="BU13" s="57" t="n">
        <f aca="false">Supuestos!$C$23*(1+Supuestos!$C$36)^8*Estacionalidad!M$15</f>
        <v>603622498.521667</v>
      </c>
      <c r="BV13" s="57" t="n">
        <f aca="false">Supuestos!$C$23*(1+Supuestos!$C$36)^8*Estacionalidad!N$15</f>
        <v>603622498.521667</v>
      </c>
      <c r="BW13" s="57" t="n">
        <f aca="false">Supuestos!$C$23*(1+Supuestos!$C$36)^9*Estacionalidad!C$15</f>
        <v>603622498.521667</v>
      </c>
      <c r="BX13" s="57" t="n">
        <f aca="false">Supuestos!$C$23*(1+Supuestos!$C$36)^9*Estacionalidad!D$15</f>
        <v>603622498.521667</v>
      </c>
      <c r="BY13" s="57" t="n">
        <f aca="false">Supuestos!$C$23*(1+Supuestos!$C$36)^9*Estacionalidad!E$15</f>
        <v>603622498.521667</v>
      </c>
      <c r="BZ13" s="57" t="n">
        <f aca="false">Supuestos!$C$23*(1+Supuestos!$C$36)^9*Estacionalidad!F$15</f>
        <v>603622498.521667</v>
      </c>
      <c r="CA13" s="57" t="n">
        <f aca="false">Supuestos!$C$23*(1+Supuestos!$C$36)^9*Estacionalidad!G$15</f>
        <v>603622498.521667</v>
      </c>
      <c r="CB13" s="57" t="n">
        <f aca="false">Supuestos!$C$23*(1+Supuestos!$C$36)^9*Estacionalidad!H$15</f>
        <v>603622498.521667</v>
      </c>
      <c r="CC13" s="57" t="n">
        <f aca="false">Supuestos!$C$23*(1+Supuestos!$C$36)^9*Estacionalidad!I$15</f>
        <v>603622498.521667</v>
      </c>
      <c r="CD13" s="57" t="n">
        <f aca="false">Supuestos!$C$23*(1+Supuestos!$C$36)^9*Estacionalidad!J$15</f>
        <v>603622498.521667</v>
      </c>
      <c r="CE13" s="57" t="n">
        <f aca="false">Supuestos!$C$23*(1+Supuestos!$C$36)^9*Estacionalidad!K$15</f>
        <v>603622498.521667</v>
      </c>
      <c r="CF13" s="57" t="n">
        <f aca="false">Supuestos!$C$23*(1+Supuestos!$C$36)^9*Estacionalidad!L$15</f>
        <v>603622498.521667</v>
      </c>
      <c r="CG13" s="57" t="n">
        <f aca="false">Supuestos!$C$23*(1+Supuestos!$C$36)^9*Estacionalidad!M$15</f>
        <v>603622498.521667</v>
      </c>
      <c r="CH13" s="57" t="n">
        <f aca="false">Supuestos!$C$23*(1+Supuestos!$C$36)^9*Estacionalidad!N$15</f>
        <v>603622498.521667</v>
      </c>
      <c r="CI13" s="57" t="n">
        <f aca="false">Supuestos!$C$23*(1+Supuestos!$C$36)^10*Estacionalidad!C$15</f>
        <v>603622498.521667</v>
      </c>
      <c r="CJ13" s="57" t="n">
        <f aca="false">Supuestos!$C$23*(1+Supuestos!$C$36)^10*Estacionalidad!D$15</f>
        <v>603622498.521667</v>
      </c>
      <c r="CK13" s="57" t="n">
        <f aca="false">Supuestos!$C$23*(1+Supuestos!$C$36)^10*Estacionalidad!E$15</f>
        <v>603622498.521667</v>
      </c>
      <c r="CL13" s="57" t="n">
        <f aca="false">Supuestos!$C$23*(1+Supuestos!$C$36)^10*Estacionalidad!F$15</f>
        <v>603622498.521667</v>
      </c>
      <c r="CM13" s="57" t="n">
        <f aca="false">Supuestos!$C$23*(1+Supuestos!$C$36)^10*Estacionalidad!G$15</f>
        <v>603622498.521667</v>
      </c>
      <c r="CN13" s="57" t="n">
        <f aca="false">Supuestos!$C$23*(1+Supuestos!$C$36)^10*Estacionalidad!H$15</f>
        <v>603622498.521667</v>
      </c>
      <c r="CO13" s="57" t="n">
        <f aca="false">Supuestos!$C$23*(1+Supuestos!$C$36)^10*Estacionalidad!I$15</f>
        <v>603622498.521667</v>
      </c>
      <c r="CP13" s="57" t="n">
        <f aca="false">Supuestos!$C$23*(1+Supuestos!$C$36)^10*Estacionalidad!J$15</f>
        <v>603622498.521667</v>
      </c>
      <c r="CQ13" s="57" t="n">
        <f aca="false">Supuestos!$C$23*(1+Supuestos!$C$36)^10*Estacionalidad!K$15</f>
        <v>603622498.521667</v>
      </c>
      <c r="CR13" s="57" t="n">
        <f aca="false">Supuestos!$C$23*(1+Supuestos!$C$36)^10*Estacionalidad!L$15</f>
        <v>603622498.521667</v>
      </c>
      <c r="CS13" s="57" t="n">
        <f aca="false">Supuestos!$C$23*(1+Supuestos!$C$36)^10*Estacionalidad!M$15</f>
        <v>603622498.521667</v>
      </c>
      <c r="CT13" s="57" t="n">
        <f aca="false">Supuestos!$C$23*(1+Supuestos!$C$36)^10*Estacionalidad!N$15</f>
        <v>603622498.521667</v>
      </c>
    </row>
    <row r="14" customFormat="false" ht="15" hidden="false" customHeight="true" outlineLevel="0" collapsed="false">
      <c r="B14" s="19" t="s">
        <v>573</v>
      </c>
      <c r="C14" s="57" t="n">
        <f aca="false">Supuestos!$C$25*Estacionalidad!C$15</f>
        <v>14174615.7591667</v>
      </c>
      <c r="D14" s="57" t="n">
        <f aca="false">Supuestos!$C$25*Estacionalidad!D$15</f>
        <v>14174615.7591667</v>
      </c>
      <c r="E14" s="57" t="n">
        <f aca="false">Supuestos!$C$25*Estacionalidad!E$15</f>
        <v>14174615.7591667</v>
      </c>
      <c r="F14" s="57" t="n">
        <f aca="false">Supuestos!$C$25*Estacionalidad!F$15</f>
        <v>14174615.7591667</v>
      </c>
      <c r="G14" s="57" t="n">
        <f aca="false">Supuestos!$C$25*Estacionalidad!G$15</f>
        <v>14174615.7591667</v>
      </c>
      <c r="H14" s="57" t="n">
        <f aca="false">Supuestos!$C$25*Estacionalidad!H$15</f>
        <v>14174615.7591667</v>
      </c>
      <c r="I14" s="57" t="n">
        <f aca="false">Supuestos!$C$25*Estacionalidad!I$15</f>
        <v>14174615.7591667</v>
      </c>
      <c r="J14" s="57" t="n">
        <f aca="false">Supuestos!$C$25*Estacionalidad!J$15</f>
        <v>14174615.7591667</v>
      </c>
      <c r="K14" s="57" t="n">
        <f aca="false">Supuestos!$C$25*Estacionalidad!K$15</f>
        <v>14174615.7591667</v>
      </c>
      <c r="L14" s="57" t="n">
        <f aca="false">Supuestos!$C$25*Estacionalidad!L$15</f>
        <v>14174615.7591667</v>
      </c>
      <c r="M14" s="57" t="n">
        <f aca="false">Supuestos!$C$25*Estacionalidad!M$15</f>
        <v>14174615.7591667</v>
      </c>
      <c r="N14" s="57" t="n">
        <f aca="false">Supuestos!$C$25*Estacionalidad!N$15</f>
        <v>14174615.7591667</v>
      </c>
      <c r="O14" s="57" t="n">
        <f aca="false">Supuestos!$C$25*Estacionalidad!C$15</f>
        <v>14174615.7591667</v>
      </c>
      <c r="P14" s="57" t="n">
        <f aca="false">Supuestos!$C$25*Estacionalidad!D$15</f>
        <v>14174615.7591667</v>
      </c>
      <c r="Q14" s="57" t="n">
        <f aca="false">Supuestos!$C$25*Estacionalidad!E$15</f>
        <v>14174615.7591667</v>
      </c>
      <c r="R14" s="57" t="n">
        <f aca="false">Supuestos!$C$25*Estacionalidad!F$15</f>
        <v>14174615.7591667</v>
      </c>
      <c r="S14" s="57" t="n">
        <f aca="false">Supuestos!$C$25*Estacionalidad!G$15</f>
        <v>14174615.7591667</v>
      </c>
      <c r="T14" s="57" t="n">
        <f aca="false">Supuestos!$C$25*Estacionalidad!H$15</f>
        <v>14174615.7591667</v>
      </c>
      <c r="U14" s="57" t="n">
        <f aca="false">Supuestos!$C$25*Estacionalidad!I$15</f>
        <v>14174615.7591667</v>
      </c>
      <c r="V14" s="57" t="n">
        <f aca="false">Supuestos!$C$25*Estacionalidad!J$15</f>
        <v>14174615.7591667</v>
      </c>
      <c r="W14" s="57" t="n">
        <f aca="false">Supuestos!$C$25*Estacionalidad!K$15</f>
        <v>14174615.7591667</v>
      </c>
      <c r="X14" s="57" t="n">
        <f aca="false">Supuestos!$C$25*Estacionalidad!L$15</f>
        <v>14174615.7591667</v>
      </c>
      <c r="Y14" s="57" t="n">
        <f aca="false">Supuestos!$C$25*Estacionalidad!M$15</f>
        <v>14174615.7591667</v>
      </c>
      <c r="Z14" s="57" t="n">
        <f aca="false">Supuestos!$C$25*Estacionalidad!N$15</f>
        <v>14174615.7591667</v>
      </c>
      <c r="AA14" s="57" t="n">
        <f aca="false">Supuestos!$C$25*Estacionalidad!C$15</f>
        <v>14174615.7591667</v>
      </c>
      <c r="AB14" s="57" t="n">
        <f aca="false">Supuestos!$C$25*Estacionalidad!D$15</f>
        <v>14174615.7591667</v>
      </c>
      <c r="AC14" s="57" t="n">
        <f aca="false">Supuestos!$C$25*Estacionalidad!E$15</f>
        <v>14174615.7591667</v>
      </c>
      <c r="AD14" s="57" t="n">
        <f aca="false">Supuestos!$C$25*Estacionalidad!F$15</f>
        <v>14174615.7591667</v>
      </c>
      <c r="AE14" s="57" t="n">
        <f aca="false">Supuestos!$C$25*Estacionalidad!G$15</f>
        <v>14174615.7591667</v>
      </c>
      <c r="AF14" s="57" t="n">
        <f aca="false">Supuestos!$C$25*Estacionalidad!H$15</f>
        <v>14174615.7591667</v>
      </c>
      <c r="AG14" s="57" t="n">
        <f aca="false">Supuestos!$C$25*Estacionalidad!I$15</f>
        <v>14174615.7591667</v>
      </c>
      <c r="AH14" s="57" t="n">
        <f aca="false">Supuestos!$C$25*Estacionalidad!J$15</f>
        <v>14174615.7591667</v>
      </c>
      <c r="AI14" s="57" t="n">
        <f aca="false">Supuestos!$C$25*Estacionalidad!K$15</f>
        <v>14174615.7591667</v>
      </c>
      <c r="AJ14" s="57" t="n">
        <f aca="false">Supuestos!$C$25*Estacionalidad!L$15</f>
        <v>14174615.7591667</v>
      </c>
      <c r="AK14" s="57" t="n">
        <f aca="false">Supuestos!$C$25*Estacionalidad!M$15</f>
        <v>14174615.7591667</v>
      </c>
      <c r="AL14" s="57" t="n">
        <f aca="false">Supuestos!$C$25*Estacionalidad!N$15</f>
        <v>14174615.7591667</v>
      </c>
      <c r="AM14" s="57" t="n">
        <f aca="false">Supuestos!$C$25*Estacionalidad!C$15</f>
        <v>14174615.7591667</v>
      </c>
      <c r="AN14" s="57" t="n">
        <f aca="false">Supuestos!$C$25*Estacionalidad!D$15</f>
        <v>14174615.7591667</v>
      </c>
      <c r="AO14" s="57" t="n">
        <f aca="false">Supuestos!$C$25*Estacionalidad!E$15</f>
        <v>14174615.7591667</v>
      </c>
      <c r="AP14" s="57" t="n">
        <f aca="false">Supuestos!$C$25*Estacionalidad!F$15</f>
        <v>14174615.7591667</v>
      </c>
      <c r="AQ14" s="57" t="n">
        <f aca="false">Supuestos!$C$25*Estacionalidad!G$15</f>
        <v>14174615.7591667</v>
      </c>
      <c r="AR14" s="57" t="n">
        <f aca="false">Supuestos!$C$25*Estacionalidad!H$15</f>
        <v>14174615.7591667</v>
      </c>
      <c r="AS14" s="57" t="n">
        <f aca="false">Supuestos!$C$25*Estacionalidad!I$15</f>
        <v>14174615.7591667</v>
      </c>
      <c r="AT14" s="57" t="n">
        <f aca="false">Supuestos!$C$25*Estacionalidad!J$15</f>
        <v>14174615.7591667</v>
      </c>
      <c r="AU14" s="57" t="n">
        <f aca="false">Supuestos!$C$25*Estacionalidad!K$15</f>
        <v>14174615.7591667</v>
      </c>
      <c r="AV14" s="57" t="n">
        <f aca="false">Supuestos!$C$25*Estacionalidad!L$15</f>
        <v>14174615.7591667</v>
      </c>
      <c r="AW14" s="57" t="n">
        <f aca="false">Supuestos!$C$25*Estacionalidad!M$15</f>
        <v>14174615.7591667</v>
      </c>
      <c r="AX14" s="57" t="n">
        <f aca="false">Supuestos!$C$25*Estacionalidad!N$15</f>
        <v>14174615.7591667</v>
      </c>
      <c r="AY14" s="57" t="n">
        <f aca="false">Supuestos!$C$25*Estacionalidad!C$15</f>
        <v>14174615.7591667</v>
      </c>
      <c r="AZ14" s="57" t="n">
        <f aca="false">Supuestos!$C$25*Estacionalidad!D$15</f>
        <v>14174615.7591667</v>
      </c>
      <c r="BA14" s="57" t="n">
        <f aca="false">Supuestos!$C$25*Estacionalidad!E$15</f>
        <v>14174615.7591667</v>
      </c>
      <c r="BB14" s="57" t="n">
        <f aca="false">Supuestos!$C$25*Estacionalidad!F$15</f>
        <v>14174615.7591667</v>
      </c>
      <c r="BC14" s="57" t="n">
        <f aca="false">Supuestos!$C$25*Estacionalidad!G$15</f>
        <v>14174615.7591667</v>
      </c>
      <c r="BD14" s="57" t="n">
        <f aca="false">Supuestos!$C$25*Estacionalidad!H$15</f>
        <v>14174615.7591667</v>
      </c>
      <c r="BE14" s="57" t="n">
        <f aca="false">Supuestos!$C$25*Estacionalidad!I$15</f>
        <v>14174615.7591667</v>
      </c>
      <c r="BF14" s="57" t="n">
        <f aca="false">Supuestos!$C$25*Estacionalidad!J$15</f>
        <v>14174615.7591667</v>
      </c>
      <c r="BG14" s="57" t="n">
        <f aca="false">Supuestos!$C$25*Estacionalidad!K$15</f>
        <v>14174615.7591667</v>
      </c>
      <c r="BH14" s="57" t="n">
        <f aca="false">Supuestos!$C$25*Estacionalidad!L$15</f>
        <v>14174615.7591667</v>
      </c>
      <c r="BI14" s="57" t="n">
        <f aca="false">Supuestos!$C$25*Estacionalidad!M$15</f>
        <v>14174615.7591667</v>
      </c>
      <c r="BJ14" s="57" t="n">
        <f aca="false">Supuestos!$C$25*Estacionalidad!N$15</f>
        <v>14174615.7591667</v>
      </c>
      <c r="BK14" s="57" t="n">
        <f aca="false">Supuestos!$C$25*Estacionalidad!C$15</f>
        <v>14174615.7591667</v>
      </c>
      <c r="BL14" s="57" t="n">
        <f aca="false">Supuestos!$C$25*Estacionalidad!D$15</f>
        <v>14174615.7591667</v>
      </c>
      <c r="BM14" s="57" t="n">
        <f aca="false">Supuestos!$C$25*Estacionalidad!E$15</f>
        <v>14174615.7591667</v>
      </c>
      <c r="BN14" s="57" t="n">
        <f aca="false">Supuestos!$C$25*Estacionalidad!F$15</f>
        <v>14174615.7591667</v>
      </c>
      <c r="BO14" s="57" t="n">
        <f aca="false">Supuestos!$C$25*Estacionalidad!G$15</f>
        <v>14174615.7591667</v>
      </c>
      <c r="BP14" s="57" t="n">
        <f aca="false">Supuestos!$C$25*Estacionalidad!H$15</f>
        <v>14174615.7591667</v>
      </c>
      <c r="BQ14" s="57" t="n">
        <f aca="false">Supuestos!$C$25*Estacionalidad!I$15</f>
        <v>14174615.7591667</v>
      </c>
      <c r="BR14" s="57" t="n">
        <f aca="false">Supuestos!$C$25*Estacionalidad!J$15</f>
        <v>14174615.7591667</v>
      </c>
      <c r="BS14" s="57" t="n">
        <f aca="false">Supuestos!$C$25*Estacionalidad!K$15</f>
        <v>14174615.7591667</v>
      </c>
      <c r="BT14" s="57" t="n">
        <f aca="false">Supuestos!$C$25*Estacionalidad!L$15</f>
        <v>14174615.7591667</v>
      </c>
      <c r="BU14" s="57" t="n">
        <f aca="false">Supuestos!$C$25*Estacionalidad!M$15</f>
        <v>14174615.7591667</v>
      </c>
      <c r="BV14" s="57" t="n">
        <f aca="false">Supuestos!$C$25*Estacionalidad!N$15</f>
        <v>14174615.7591667</v>
      </c>
      <c r="BW14" s="57" t="n">
        <f aca="false">Supuestos!$C$25*Estacionalidad!C$15</f>
        <v>14174615.7591667</v>
      </c>
      <c r="BX14" s="57" t="n">
        <f aca="false">Supuestos!$C$25*Estacionalidad!D$15</f>
        <v>14174615.7591667</v>
      </c>
      <c r="BY14" s="57" t="n">
        <f aca="false">Supuestos!$C$25*Estacionalidad!E$15</f>
        <v>14174615.7591667</v>
      </c>
      <c r="BZ14" s="57" t="n">
        <f aca="false">Supuestos!$C$25*Estacionalidad!F$15</f>
        <v>14174615.7591667</v>
      </c>
      <c r="CA14" s="57" t="n">
        <f aca="false">Supuestos!$C$25*Estacionalidad!G$15</f>
        <v>14174615.7591667</v>
      </c>
      <c r="CB14" s="57" t="n">
        <f aca="false">Supuestos!$C$25*Estacionalidad!H$15</f>
        <v>14174615.7591667</v>
      </c>
      <c r="CC14" s="57" t="n">
        <f aca="false">Supuestos!$C$25*Estacionalidad!I$15</f>
        <v>14174615.7591667</v>
      </c>
      <c r="CD14" s="57" t="n">
        <f aca="false">Supuestos!$C$25*Estacionalidad!J$15</f>
        <v>14174615.7591667</v>
      </c>
      <c r="CE14" s="57" t="n">
        <f aca="false">Supuestos!$C$25*Estacionalidad!K$15</f>
        <v>14174615.7591667</v>
      </c>
      <c r="CF14" s="57" t="n">
        <f aca="false">Supuestos!$C$25*Estacionalidad!L$15</f>
        <v>14174615.7591667</v>
      </c>
      <c r="CG14" s="57" t="n">
        <f aca="false">Supuestos!$C$25*Estacionalidad!M$15</f>
        <v>14174615.7591667</v>
      </c>
      <c r="CH14" s="57" t="n">
        <f aca="false">Supuestos!$C$25*Estacionalidad!N$15</f>
        <v>14174615.7591667</v>
      </c>
      <c r="CI14" s="57" t="n">
        <f aca="false">Supuestos!$C$25*Estacionalidad!C$15</f>
        <v>14174615.7591667</v>
      </c>
      <c r="CJ14" s="57" t="n">
        <f aca="false">Supuestos!$C$25*Estacionalidad!D$15</f>
        <v>14174615.7591667</v>
      </c>
      <c r="CK14" s="57" t="n">
        <f aca="false">Supuestos!$C$25*Estacionalidad!E$15</f>
        <v>14174615.7591667</v>
      </c>
      <c r="CL14" s="57" t="n">
        <f aca="false">Supuestos!$C$25*Estacionalidad!F$15</f>
        <v>14174615.7591667</v>
      </c>
      <c r="CM14" s="57" t="n">
        <f aca="false">Supuestos!$C$25*Estacionalidad!G$15</f>
        <v>14174615.7591667</v>
      </c>
      <c r="CN14" s="57" t="n">
        <f aca="false">Supuestos!$C$25*Estacionalidad!H$15</f>
        <v>14174615.7591667</v>
      </c>
      <c r="CO14" s="57" t="n">
        <f aca="false">Supuestos!$C$25*Estacionalidad!I$15</f>
        <v>14174615.7591667</v>
      </c>
      <c r="CP14" s="57" t="n">
        <f aca="false">Supuestos!$C$25*Estacionalidad!J$15</f>
        <v>14174615.7591667</v>
      </c>
      <c r="CQ14" s="57" t="n">
        <f aca="false">Supuestos!$C$25*Estacionalidad!K$15</f>
        <v>14174615.7591667</v>
      </c>
      <c r="CR14" s="57" t="n">
        <f aca="false">Supuestos!$C$25*Estacionalidad!L$15</f>
        <v>14174615.7591667</v>
      </c>
      <c r="CS14" s="57" t="n">
        <f aca="false">Supuestos!$C$25*Estacionalidad!M$15</f>
        <v>14174615.7591667</v>
      </c>
      <c r="CT14" s="57" t="n">
        <f aca="false">Supuestos!$C$25*Estacionalidad!N$15</f>
        <v>14174615.7591667</v>
      </c>
    </row>
    <row r="15" customFormat="false" ht="27" hidden="false" customHeight="true" outlineLevel="0" collapsed="false">
      <c r="B15" s="14" t="s">
        <v>574</v>
      </c>
      <c r="C15" s="66" t="n">
        <f aca="false">Deuda!C$9</f>
        <v>154782891.222222</v>
      </c>
      <c r="D15" s="66" t="n">
        <f aca="false">Deuda!D$9</f>
        <v>3904782891.22222</v>
      </c>
      <c r="E15" s="66" t="n">
        <f aca="false">Deuda!E$9</f>
        <v>154782891.222222</v>
      </c>
      <c r="F15" s="66" t="n">
        <f aca="false">Deuda!F$9</f>
        <v>154782891.222222</v>
      </c>
      <c r="G15" s="66" t="n">
        <f aca="false">Deuda!G$9</f>
        <v>3904782891.22222</v>
      </c>
      <c r="H15" s="66" t="n">
        <f aca="false">Deuda!H$9</f>
        <v>154782891.222222</v>
      </c>
      <c r="I15" s="66" t="n">
        <f aca="false">Deuda!I$9</f>
        <v>154782891.222222</v>
      </c>
      <c r="J15" s="66" t="n">
        <f aca="false">Deuda!J$9</f>
        <v>3904782891.22222</v>
      </c>
      <c r="K15" s="66" t="n">
        <f aca="false">Deuda!K$9</f>
        <v>154782891.222222</v>
      </c>
      <c r="L15" s="66" t="n">
        <f aca="false">Deuda!L$9</f>
        <v>154782891.222222</v>
      </c>
      <c r="M15" s="66" t="n">
        <f aca="false">Deuda!M$9</f>
        <v>3904782891.22222</v>
      </c>
      <c r="N15" s="66" t="n">
        <f aca="false">Deuda!N$9</f>
        <v>154782891.222222</v>
      </c>
      <c r="O15" s="66" t="n">
        <f aca="false">Deuda!O$9</f>
        <v>154782891.222222</v>
      </c>
      <c r="P15" s="66" t="n">
        <f aca="false">Deuda!P$9</f>
        <v>3904782891.22222</v>
      </c>
      <c r="Q15" s="66" t="n">
        <f aca="false">Deuda!Q$9</f>
        <v>154782891.222222</v>
      </c>
      <c r="R15" s="66" t="n">
        <f aca="false">Deuda!R$9</f>
        <v>154782891.222222</v>
      </c>
      <c r="S15" s="66" t="n">
        <f aca="false">Deuda!S$9</f>
        <v>3904782891.22222</v>
      </c>
      <c r="T15" s="66" t="n">
        <f aca="false">Deuda!T$9</f>
        <v>154782891.222222</v>
      </c>
      <c r="U15" s="66" t="n">
        <f aca="false">Deuda!U$9</f>
        <v>154782891.222222</v>
      </c>
      <c r="V15" s="66" t="n">
        <f aca="false">Deuda!V$9</f>
        <v>3904782891.22222</v>
      </c>
      <c r="W15" s="66" t="n">
        <f aca="false">Deuda!W$9</f>
        <v>154782891.222222</v>
      </c>
      <c r="X15" s="66" t="n">
        <f aca="false">Deuda!X$9</f>
        <v>154782891.222222</v>
      </c>
      <c r="Y15" s="66" t="n">
        <f aca="false">Deuda!Y$9</f>
        <v>154782891.222222</v>
      </c>
      <c r="Z15" s="66" t="n">
        <f aca="false">Deuda!Z$9</f>
        <v>154782891.22222</v>
      </c>
      <c r="AA15" s="66" t="n">
        <f aca="false">Deuda!AA$9</f>
        <v>0</v>
      </c>
      <c r="AB15" s="66" t="n">
        <f aca="false">Deuda!AB$9</f>
        <v>0</v>
      </c>
      <c r="AC15" s="66" t="n">
        <f aca="false">Deuda!AC$9</f>
        <v>0</v>
      </c>
      <c r="AD15" s="66" t="n">
        <f aca="false">Deuda!AD$9</f>
        <v>0</v>
      </c>
      <c r="AE15" s="66" t="n">
        <f aca="false">Deuda!AE$9</f>
        <v>0</v>
      </c>
      <c r="AF15" s="66" t="n">
        <f aca="false">Deuda!AF$9</f>
        <v>0</v>
      </c>
      <c r="AG15" s="66" t="n">
        <f aca="false">Deuda!AG$9</f>
        <v>0</v>
      </c>
      <c r="AH15" s="66" t="n">
        <f aca="false">Deuda!AH$9</f>
        <v>0</v>
      </c>
      <c r="AI15" s="66" t="n">
        <f aca="false">Deuda!AI$9</f>
        <v>0</v>
      </c>
      <c r="AJ15" s="66" t="n">
        <f aca="false">Deuda!AJ$9</f>
        <v>0</v>
      </c>
      <c r="AK15" s="66" t="n">
        <f aca="false">Deuda!AK$9</f>
        <v>0</v>
      </c>
      <c r="AL15" s="66" t="n">
        <f aca="false">Deuda!AL$9</f>
        <v>0</v>
      </c>
      <c r="AM15" s="66" t="n">
        <f aca="false">Deuda!AM$9</f>
        <v>0</v>
      </c>
      <c r="AN15" s="66" t="n">
        <f aca="false">Deuda!AN$9</f>
        <v>0</v>
      </c>
      <c r="AO15" s="66" t="n">
        <f aca="false">Deuda!AO$9</f>
        <v>0</v>
      </c>
      <c r="AP15" s="66" t="n">
        <f aca="false">Deuda!AP$9</f>
        <v>0</v>
      </c>
      <c r="AQ15" s="66" t="n">
        <f aca="false">Deuda!AQ$9</f>
        <v>0</v>
      </c>
      <c r="AR15" s="66" t="n">
        <f aca="false">Deuda!AR$9</f>
        <v>0</v>
      </c>
      <c r="AS15" s="66" t="n">
        <f aca="false">Deuda!AS$9</f>
        <v>0</v>
      </c>
      <c r="AT15" s="66" t="n">
        <f aca="false">Deuda!AT$9</f>
        <v>0</v>
      </c>
      <c r="AU15" s="66" t="n">
        <f aca="false">Deuda!AU$9</f>
        <v>0</v>
      </c>
      <c r="AV15" s="66" t="n">
        <f aca="false">Deuda!AV$9</f>
        <v>0</v>
      </c>
      <c r="AW15" s="66" t="n">
        <f aca="false">Deuda!AW$9</f>
        <v>0</v>
      </c>
      <c r="AX15" s="66" t="n">
        <f aca="false">Deuda!AX$9</f>
        <v>0</v>
      </c>
      <c r="AY15" s="66" t="n">
        <f aca="false">Deuda!AY$9</f>
        <v>0</v>
      </c>
      <c r="AZ15" s="66" t="n">
        <f aca="false">Deuda!AZ$9</f>
        <v>0</v>
      </c>
      <c r="BA15" s="66" t="n">
        <f aca="false">Deuda!BA$9</f>
        <v>0</v>
      </c>
      <c r="BB15" s="66" t="n">
        <f aca="false">Deuda!BB$9</f>
        <v>0</v>
      </c>
      <c r="BC15" s="66" t="n">
        <f aca="false">Deuda!BC$9</f>
        <v>0</v>
      </c>
      <c r="BD15" s="66" t="n">
        <f aca="false">Deuda!BD$9</f>
        <v>0</v>
      </c>
      <c r="BE15" s="66" t="n">
        <f aca="false">Deuda!BE$9</f>
        <v>0</v>
      </c>
      <c r="BF15" s="66" t="n">
        <f aca="false">Deuda!BF$9</f>
        <v>0</v>
      </c>
      <c r="BG15" s="66" t="n">
        <f aca="false">Deuda!BG$9</f>
        <v>0</v>
      </c>
      <c r="BH15" s="66" t="n">
        <f aca="false">Deuda!BH$9</f>
        <v>0</v>
      </c>
      <c r="BI15" s="66" t="n">
        <f aca="false">Deuda!BI$9</f>
        <v>0</v>
      </c>
      <c r="BJ15" s="66" t="n">
        <f aca="false">Deuda!BJ$9</f>
        <v>0</v>
      </c>
      <c r="BK15" s="66" t="n">
        <f aca="false">Deuda!BK$9</f>
        <v>0</v>
      </c>
      <c r="BL15" s="66" t="n">
        <f aca="false">Deuda!BL$9</f>
        <v>0</v>
      </c>
      <c r="BM15" s="66" t="n">
        <f aca="false">Deuda!BM$9</f>
        <v>0</v>
      </c>
      <c r="BN15" s="66" t="n">
        <f aca="false">Deuda!BN$9</f>
        <v>0</v>
      </c>
      <c r="BO15" s="66" t="n">
        <f aca="false">Deuda!BO$9</f>
        <v>0</v>
      </c>
      <c r="BP15" s="66" t="n">
        <f aca="false">Deuda!BP$9</f>
        <v>0</v>
      </c>
      <c r="BQ15" s="66" t="n">
        <f aca="false">Deuda!BQ$9</f>
        <v>0</v>
      </c>
      <c r="BR15" s="66" t="n">
        <f aca="false">Deuda!BR$9</f>
        <v>0</v>
      </c>
      <c r="BS15" s="66" t="n">
        <f aca="false">Deuda!BS$9</f>
        <v>0</v>
      </c>
      <c r="BT15" s="66" t="n">
        <f aca="false">Deuda!BT$9</f>
        <v>0</v>
      </c>
      <c r="BU15" s="66" t="n">
        <f aca="false">Deuda!BU$9</f>
        <v>0</v>
      </c>
      <c r="BV15" s="66" t="n">
        <f aca="false">Deuda!BV$9</f>
        <v>0</v>
      </c>
      <c r="BW15" s="66" t="n">
        <f aca="false">Deuda!BW$9</f>
        <v>0</v>
      </c>
      <c r="BX15" s="66" t="n">
        <f aca="false">Deuda!BX$9</f>
        <v>0</v>
      </c>
      <c r="BY15" s="66" t="n">
        <f aca="false">Deuda!BY$9</f>
        <v>0</v>
      </c>
      <c r="BZ15" s="66" t="n">
        <f aca="false">Deuda!BZ$9</f>
        <v>0</v>
      </c>
      <c r="CA15" s="66" t="n">
        <f aca="false">Deuda!CA$9</f>
        <v>0</v>
      </c>
      <c r="CB15" s="66" t="n">
        <f aca="false">Deuda!CB$9</f>
        <v>0</v>
      </c>
      <c r="CC15" s="66" t="n">
        <f aca="false">Deuda!CC$9</f>
        <v>0</v>
      </c>
      <c r="CD15" s="66" t="n">
        <f aca="false">Deuda!CD$9</f>
        <v>0</v>
      </c>
      <c r="CE15" s="66" t="n">
        <f aca="false">Deuda!CE$9</f>
        <v>0</v>
      </c>
      <c r="CF15" s="66" t="n">
        <f aca="false">Deuda!CF$9</f>
        <v>0</v>
      </c>
      <c r="CG15" s="66" t="n">
        <f aca="false">Deuda!CG$9</f>
        <v>0</v>
      </c>
      <c r="CH15" s="66" t="n">
        <f aca="false">Deuda!CH$9</f>
        <v>0</v>
      </c>
      <c r="CI15" s="66" t="n">
        <f aca="false">Deuda!CI$9</f>
        <v>0</v>
      </c>
      <c r="CJ15" s="66" t="n">
        <f aca="false">Deuda!CJ$9</f>
        <v>0</v>
      </c>
      <c r="CK15" s="66" t="n">
        <f aca="false">Deuda!CK$9</f>
        <v>0</v>
      </c>
      <c r="CL15" s="66" t="n">
        <f aca="false">Deuda!CL$9</f>
        <v>0</v>
      </c>
      <c r="CM15" s="66" t="n">
        <f aca="false">Deuda!CM$9</f>
        <v>0</v>
      </c>
      <c r="CN15" s="66" t="n">
        <f aca="false">Deuda!CN$9</f>
        <v>0</v>
      </c>
      <c r="CO15" s="66" t="n">
        <f aca="false">Deuda!CO$9</f>
        <v>0</v>
      </c>
      <c r="CP15" s="66" t="n">
        <f aca="false">Deuda!CP$9</f>
        <v>0</v>
      </c>
      <c r="CQ15" s="66" t="n">
        <f aca="false">Deuda!CQ$9</f>
        <v>0</v>
      </c>
      <c r="CR15" s="66" t="n">
        <f aca="false">Deuda!CR$9</f>
        <v>0</v>
      </c>
      <c r="CS15" s="66" t="n">
        <f aca="false">Deuda!CS$9</f>
        <v>0</v>
      </c>
      <c r="CT15" s="66" t="n">
        <f aca="false">Deuda!CT$9</f>
        <v>0</v>
      </c>
    </row>
    <row r="16" customFormat="false" ht="27" hidden="false" customHeight="true" outlineLevel="0" collapsed="false">
      <c r="B16" s="14" t="s">
        <v>575</v>
      </c>
      <c r="C16" s="66" t="n">
        <f aca="false">Programas!C$20</f>
        <v>136377295.666667</v>
      </c>
      <c r="D16" s="66" t="n">
        <f aca="false">Programas!D$20</f>
        <v>136377295.666667</v>
      </c>
      <c r="E16" s="66" t="n">
        <f aca="false">Programas!E$20</f>
        <v>136377295.666667</v>
      </c>
      <c r="F16" s="66" t="n">
        <f aca="false">Programas!F$20</f>
        <v>136377295.666667</v>
      </c>
      <c r="G16" s="66" t="n">
        <f aca="false">Programas!G$20</f>
        <v>136377295.666667</v>
      </c>
      <c r="H16" s="66" t="n">
        <f aca="false">Programas!H$20</f>
        <v>136377295.666667</v>
      </c>
      <c r="I16" s="66" t="n">
        <f aca="false">Programas!I$20</f>
        <v>136377295.666667</v>
      </c>
      <c r="J16" s="66" t="n">
        <f aca="false">Programas!J$20</f>
        <v>136377295.666667</v>
      </c>
      <c r="K16" s="66" t="n">
        <f aca="false">Programas!K$20</f>
        <v>136377295.666667</v>
      </c>
      <c r="L16" s="66" t="n">
        <f aca="false">Programas!L$20</f>
        <v>136377295.666667</v>
      </c>
      <c r="M16" s="66" t="n">
        <f aca="false">Programas!M$20</f>
        <v>136377295.666667</v>
      </c>
      <c r="N16" s="66" t="n">
        <f aca="false">Programas!N$20</f>
        <v>136377295.666667</v>
      </c>
      <c r="O16" s="66" t="n">
        <f aca="false">Programas!O$20</f>
        <v>301049752.48224</v>
      </c>
      <c r="P16" s="66" t="n">
        <f aca="false">Programas!P$20</f>
        <v>301049752.48224</v>
      </c>
      <c r="Q16" s="66" t="n">
        <f aca="false">Programas!Q$20</f>
        <v>301049752.48224</v>
      </c>
      <c r="R16" s="66" t="n">
        <f aca="false">Programas!R$20</f>
        <v>301049752.48224</v>
      </c>
      <c r="S16" s="66" t="n">
        <f aca="false">Programas!S$20</f>
        <v>301049752.48224</v>
      </c>
      <c r="T16" s="66" t="n">
        <f aca="false">Programas!T$20</f>
        <v>301049752.48224</v>
      </c>
      <c r="U16" s="66" t="n">
        <f aca="false">Programas!U$20</f>
        <v>301049752.48224</v>
      </c>
      <c r="V16" s="66" t="n">
        <f aca="false">Programas!V$20</f>
        <v>301049752.48224</v>
      </c>
      <c r="W16" s="66" t="n">
        <f aca="false">Programas!W$20</f>
        <v>301049752.48224</v>
      </c>
      <c r="X16" s="66" t="n">
        <f aca="false">Programas!X$20</f>
        <v>301049752.48224</v>
      </c>
      <c r="Y16" s="66" t="n">
        <f aca="false">Programas!Y$20</f>
        <v>301049752.48224</v>
      </c>
      <c r="Z16" s="66" t="n">
        <f aca="false">Programas!Z$20</f>
        <v>301049752.48224</v>
      </c>
      <c r="AA16" s="66" t="n">
        <f aca="false">Programas!AA$20</f>
        <v>451574628.723359</v>
      </c>
      <c r="AB16" s="66" t="n">
        <f aca="false">Programas!AB$20</f>
        <v>451574628.723359</v>
      </c>
      <c r="AC16" s="66" t="n">
        <f aca="false">Programas!AC$20</f>
        <v>451574628.723359</v>
      </c>
      <c r="AD16" s="66" t="n">
        <f aca="false">Programas!AD$20</f>
        <v>451574628.723359</v>
      </c>
      <c r="AE16" s="66" t="n">
        <f aca="false">Programas!AE$20</f>
        <v>451574628.723359</v>
      </c>
      <c r="AF16" s="66" t="n">
        <f aca="false">Programas!AF$20</f>
        <v>451574628.723359</v>
      </c>
      <c r="AG16" s="66" t="n">
        <f aca="false">Programas!AG$20</f>
        <v>451574628.723359</v>
      </c>
      <c r="AH16" s="66" t="n">
        <f aca="false">Programas!AH$20</f>
        <v>451574628.723359</v>
      </c>
      <c r="AI16" s="66" t="n">
        <f aca="false">Programas!AI$20</f>
        <v>451574628.723359</v>
      </c>
      <c r="AJ16" s="66" t="n">
        <f aca="false">Programas!AJ$20</f>
        <v>451574628.723359</v>
      </c>
      <c r="AK16" s="66" t="n">
        <f aca="false">Programas!AK$20</f>
        <v>451574628.723359</v>
      </c>
      <c r="AL16" s="66" t="n">
        <f aca="false">Programas!AL$20</f>
        <v>451574628.723359</v>
      </c>
      <c r="AM16" s="66" t="n">
        <f aca="false">Programas!AM$20</f>
        <v>498602206.083333</v>
      </c>
      <c r="AN16" s="66" t="n">
        <f aca="false">Programas!AN$20</f>
        <v>498602206.083333</v>
      </c>
      <c r="AO16" s="66" t="n">
        <f aca="false">Programas!AO$20</f>
        <v>498602206.083333</v>
      </c>
      <c r="AP16" s="66" t="n">
        <f aca="false">Programas!AP$20</f>
        <v>498602206.083333</v>
      </c>
      <c r="AQ16" s="66" t="n">
        <f aca="false">Programas!AQ$20</f>
        <v>498602206.083333</v>
      </c>
      <c r="AR16" s="66" t="n">
        <f aca="false">Programas!AR$20</f>
        <v>498602206.083333</v>
      </c>
      <c r="AS16" s="66" t="n">
        <f aca="false">Programas!AS$20</f>
        <v>498602206.083333</v>
      </c>
      <c r="AT16" s="66" t="n">
        <f aca="false">Programas!AT$20</f>
        <v>498602206.083333</v>
      </c>
      <c r="AU16" s="66" t="n">
        <f aca="false">Programas!AU$20</f>
        <v>498602206.083333</v>
      </c>
      <c r="AV16" s="66" t="n">
        <f aca="false">Programas!AV$20</f>
        <v>498602206.083333</v>
      </c>
      <c r="AW16" s="66" t="n">
        <f aca="false">Programas!AW$20</f>
        <v>498602206.083333</v>
      </c>
      <c r="AX16" s="66" t="n">
        <f aca="false">Programas!AX$20</f>
        <v>498602206.083333</v>
      </c>
      <c r="AY16" s="66" t="n">
        <f aca="false">Programas!AY$20</f>
        <v>498602206.083333</v>
      </c>
      <c r="AZ16" s="66" t="n">
        <f aca="false">Programas!AZ$20</f>
        <v>498602206.083333</v>
      </c>
      <c r="BA16" s="66" t="n">
        <f aca="false">Programas!BA$20</f>
        <v>498602206.083333</v>
      </c>
      <c r="BB16" s="66" t="n">
        <f aca="false">Programas!BB$20</f>
        <v>498602206.083333</v>
      </c>
      <c r="BC16" s="66" t="n">
        <f aca="false">Programas!BC$20</f>
        <v>498602206.083333</v>
      </c>
      <c r="BD16" s="66" t="n">
        <f aca="false">Programas!BD$20</f>
        <v>498602206.083333</v>
      </c>
      <c r="BE16" s="66" t="n">
        <f aca="false">Programas!BE$20</f>
        <v>498602206.083333</v>
      </c>
      <c r="BF16" s="66" t="n">
        <f aca="false">Programas!BF$20</f>
        <v>498602206.083333</v>
      </c>
      <c r="BG16" s="66" t="n">
        <f aca="false">Programas!BG$20</f>
        <v>498602206.083333</v>
      </c>
      <c r="BH16" s="66" t="n">
        <f aca="false">Programas!BH$20</f>
        <v>498602206.083333</v>
      </c>
      <c r="BI16" s="66" t="n">
        <f aca="false">Programas!BI$20</f>
        <v>498602206.083333</v>
      </c>
      <c r="BJ16" s="66" t="n">
        <f aca="false">Programas!BJ$20</f>
        <v>498602206.083333</v>
      </c>
      <c r="BK16" s="66" t="n">
        <f aca="false">Programas!BK$20</f>
        <v>498602206.083333</v>
      </c>
      <c r="BL16" s="66" t="n">
        <f aca="false">Programas!BL$20</f>
        <v>498602206.083333</v>
      </c>
      <c r="BM16" s="66" t="n">
        <f aca="false">Programas!BM$20</f>
        <v>498602206.083333</v>
      </c>
      <c r="BN16" s="66" t="n">
        <f aca="false">Programas!BN$20</f>
        <v>498602206.083333</v>
      </c>
      <c r="BO16" s="66" t="n">
        <f aca="false">Programas!BO$20</f>
        <v>498602206.083333</v>
      </c>
      <c r="BP16" s="66" t="n">
        <f aca="false">Programas!BP$20</f>
        <v>498602206.083333</v>
      </c>
      <c r="BQ16" s="66" t="n">
        <f aca="false">Programas!BQ$20</f>
        <v>498602206.083333</v>
      </c>
      <c r="BR16" s="66" t="n">
        <f aca="false">Programas!BR$20</f>
        <v>498602206.083333</v>
      </c>
      <c r="BS16" s="66" t="n">
        <f aca="false">Programas!BS$20</f>
        <v>498602206.083333</v>
      </c>
      <c r="BT16" s="66" t="n">
        <f aca="false">Programas!BT$20</f>
        <v>498602206.083333</v>
      </c>
      <c r="BU16" s="66" t="n">
        <f aca="false">Programas!BU$20</f>
        <v>498602206.083333</v>
      </c>
      <c r="BV16" s="66" t="n">
        <f aca="false">Programas!BV$20</f>
        <v>498602206.083333</v>
      </c>
      <c r="BW16" s="66" t="n">
        <f aca="false">Programas!BW$20</f>
        <v>498602206.083333</v>
      </c>
      <c r="BX16" s="66" t="n">
        <f aca="false">Programas!BX$20</f>
        <v>498602206.083333</v>
      </c>
      <c r="BY16" s="66" t="n">
        <f aca="false">Programas!BY$20</f>
        <v>498602206.083333</v>
      </c>
      <c r="BZ16" s="66" t="n">
        <f aca="false">Programas!BZ$20</f>
        <v>498602206.083333</v>
      </c>
      <c r="CA16" s="66" t="n">
        <f aca="false">Programas!CA$20</f>
        <v>498602206.083333</v>
      </c>
      <c r="CB16" s="66" t="n">
        <f aca="false">Programas!CB$20</f>
        <v>498602206.083333</v>
      </c>
      <c r="CC16" s="66" t="n">
        <f aca="false">Programas!CC$20</f>
        <v>498602206.083333</v>
      </c>
      <c r="CD16" s="66" t="n">
        <f aca="false">Programas!CD$20</f>
        <v>498602206.083333</v>
      </c>
      <c r="CE16" s="66" t="n">
        <f aca="false">Programas!CE$20</f>
        <v>498602206.083333</v>
      </c>
      <c r="CF16" s="66" t="n">
        <f aca="false">Programas!CF$20</f>
        <v>498602206.083333</v>
      </c>
      <c r="CG16" s="66" t="n">
        <f aca="false">Programas!CG$20</f>
        <v>498602206.083333</v>
      </c>
      <c r="CH16" s="66" t="n">
        <f aca="false">Programas!CH$20</f>
        <v>498602206.083333</v>
      </c>
      <c r="CI16" s="66" t="n">
        <f aca="false">Programas!CI$20</f>
        <v>498602206.083333</v>
      </c>
      <c r="CJ16" s="66" t="n">
        <f aca="false">Programas!CJ$20</f>
        <v>498602206.083333</v>
      </c>
      <c r="CK16" s="66" t="n">
        <f aca="false">Programas!CK$20</f>
        <v>498602206.083333</v>
      </c>
      <c r="CL16" s="66" t="n">
        <f aca="false">Programas!CL$20</f>
        <v>498602206.083333</v>
      </c>
      <c r="CM16" s="66" t="n">
        <f aca="false">Programas!CM$20</f>
        <v>498602206.083333</v>
      </c>
      <c r="CN16" s="66" t="n">
        <f aca="false">Programas!CN$20</f>
        <v>498602206.083333</v>
      </c>
      <c r="CO16" s="66" t="n">
        <f aca="false">Programas!CO$20</f>
        <v>498602206.083333</v>
      </c>
      <c r="CP16" s="66" t="n">
        <f aca="false">Programas!CP$20</f>
        <v>498602206.083333</v>
      </c>
      <c r="CQ16" s="66" t="n">
        <f aca="false">Programas!CQ$20</f>
        <v>498602206.083333</v>
      </c>
      <c r="CR16" s="66" t="n">
        <f aca="false">Programas!CR$20</f>
        <v>498602206.083333</v>
      </c>
      <c r="CS16" s="66" t="n">
        <f aca="false">Programas!CS$20</f>
        <v>498602206.083333</v>
      </c>
      <c r="CT16" s="66" t="n">
        <f aca="false">Programas!CT$20</f>
        <v>498602206.083333</v>
      </c>
    </row>
    <row r="17" customFormat="false" ht="15" hidden="false" customHeight="true" outlineLevel="0" collapsed="false">
      <c r="B17" s="54" t="s">
        <v>576</v>
      </c>
      <c r="C17" s="60" t="n">
        <f aca="false">SUM(C8:C16)</f>
        <v>21723735800.7903</v>
      </c>
      <c r="D17" s="60" t="n">
        <f aca="false">SUM(D8:D16)</f>
        <v>26339154299.4554</v>
      </c>
      <c r="E17" s="60" t="n">
        <f aca="false">SUM(E8:E16)</f>
        <v>25299534880.3172</v>
      </c>
      <c r="F17" s="60" t="n">
        <f aca="false">SUM(F8:F16)</f>
        <v>25877691973.8198</v>
      </c>
      <c r="G17" s="60" t="n">
        <f aca="false">SUM(G8:G16)</f>
        <v>30205849067.3224</v>
      </c>
      <c r="H17" s="60" t="n">
        <f aca="false">SUM(H8:H16)</f>
        <v>30747753818.2801</v>
      </c>
      <c r="I17" s="60" t="n">
        <f aca="false">SUM(I8:I16)</f>
        <v>26455849067.3224</v>
      </c>
      <c r="J17" s="60" t="n">
        <f aca="false">SUM(J8:J16)</f>
        <v>30205849067.3224</v>
      </c>
      <c r="K17" s="60" t="n">
        <f aca="false">SUM(K8:K16)</f>
        <v>26455849067.3224</v>
      </c>
      <c r="L17" s="60" t="n">
        <f aca="false">SUM(L8:L16)</f>
        <v>26500041718.1908</v>
      </c>
      <c r="M17" s="60" t="n">
        <f aca="false">SUM(M8:M16)</f>
        <v>29671884624.6882</v>
      </c>
      <c r="N17" s="60" t="n">
        <f aca="false">SUM(N8:N16)</f>
        <v>28416654227.4952</v>
      </c>
      <c r="O17" s="60" t="n">
        <f aca="false">SUM(O8:O16)</f>
        <v>21888408257.6059</v>
      </c>
      <c r="P17" s="60" t="n">
        <f aca="false">SUM(P8:P16)</f>
        <v>26503826756.271</v>
      </c>
      <c r="Q17" s="60" t="n">
        <f aca="false">SUM(Q8:Q16)</f>
        <v>25464207337.1328</v>
      </c>
      <c r="R17" s="60" t="n">
        <f aca="false">SUM(R8:R16)</f>
        <v>26042364430.6354</v>
      </c>
      <c r="S17" s="60" t="n">
        <f aca="false">SUM(S8:S16)</f>
        <v>30370521524.138</v>
      </c>
      <c r="T17" s="60" t="n">
        <f aca="false">SUM(T8:T16)</f>
        <v>30912426275.0957</v>
      </c>
      <c r="U17" s="60" t="n">
        <f aca="false">SUM(U8:U16)</f>
        <v>26620521524.138</v>
      </c>
      <c r="V17" s="60" t="n">
        <f aca="false">SUM(V8:V16)</f>
        <v>30370521524.138</v>
      </c>
      <c r="W17" s="60" t="n">
        <f aca="false">SUM(W8:W16)</f>
        <v>26620521524.138</v>
      </c>
      <c r="X17" s="60" t="n">
        <f aca="false">SUM(X8:X16)</f>
        <v>26664714175.0064</v>
      </c>
      <c r="Y17" s="60" t="n">
        <f aca="false">SUM(Y8:Y16)</f>
        <v>26086557081.5038</v>
      </c>
      <c r="Z17" s="60" t="n">
        <f aca="false">SUM(Z8:Z16)</f>
        <v>28581326684.3108</v>
      </c>
      <c r="AA17" s="60" t="n">
        <f aca="false">SUM(AA8:AA16)</f>
        <v>21884150242.6248</v>
      </c>
      <c r="AB17" s="60" t="n">
        <f aca="false">SUM(AB8:AB16)</f>
        <v>22749568741.2899</v>
      </c>
      <c r="AC17" s="60" t="n">
        <f aca="false">SUM(AC8:AC16)</f>
        <v>25459949322.1517</v>
      </c>
      <c r="AD17" s="60" t="n">
        <f aca="false">SUM(AD8:AD16)</f>
        <v>26038106415.6543</v>
      </c>
      <c r="AE17" s="60" t="n">
        <f aca="false">SUM(AE8:AE16)</f>
        <v>26616263509.1569</v>
      </c>
      <c r="AF17" s="60" t="n">
        <f aca="false">SUM(AF8:AF16)</f>
        <v>30908168260.1146</v>
      </c>
      <c r="AG17" s="60" t="n">
        <f aca="false">SUM(AG8:AG16)</f>
        <v>26616263509.1569</v>
      </c>
      <c r="AH17" s="60" t="n">
        <f aca="false">SUM(AH8:AH16)</f>
        <v>26616263509.1569</v>
      </c>
      <c r="AI17" s="60" t="n">
        <f aca="false">SUM(AI8:AI16)</f>
        <v>26616263509.1569</v>
      </c>
      <c r="AJ17" s="60" t="n">
        <f aca="false">SUM(AJ8:AJ16)</f>
        <v>26660456160.0253</v>
      </c>
      <c r="AK17" s="60" t="n">
        <f aca="false">SUM(AK8:AK16)</f>
        <v>26082299066.5227</v>
      </c>
      <c r="AL17" s="60" t="n">
        <f aca="false">SUM(AL8:AL16)</f>
        <v>28577068669.3297</v>
      </c>
      <c r="AM17" s="60" t="n">
        <f aca="false">SUM(AM8:AM16)</f>
        <v>21931177819.9848</v>
      </c>
      <c r="AN17" s="60" t="n">
        <f aca="false">SUM(AN8:AN16)</f>
        <v>22796596318.6499</v>
      </c>
      <c r="AO17" s="60" t="n">
        <f aca="false">SUM(AO8:AO16)</f>
        <v>25506976899.5117</v>
      </c>
      <c r="AP17" s="60" t="n">
        <f aca="false">SUM(AP8:AP16)</f>
        <v>26085133993.0143</v>
      </c>
      <c r="AQ17" s="60" t="n">
        <f aca="false">SUM(AQ8:AQ16)</f>
        <v>26663291086.5169</v>
      </c>
      <c r="AR17" s="60" t="n">
        <f aca="false">SUM(AR8:AR16)</f>
        <v>30955195837.4745</v>
      </c>
      <c r="AS17" s="60" t="n">
        <f aca="false">SUM(AS8:AS16)</f>
        <v>26663291086.5169</v>
      </c>
      <c r="AT17" s="60" t="n">
        <f aca="false">SUM(AT8:AT16)</f>
        <v>26663291086.5169</v>
      </c>
      <c r="AU17" s="60" t="n">
        <f aca="false">SUM(AU8:AU16)</f>
        <v>26663291086.5169</v>
      </c>
      <c r="AV17" s="60" t="n">
        <f aca="false">SUM(AV8:AV16)</f>
        <v>26707483737.3852</v>
      </c>
      <c r="AW17" s="60" t="n">
        <f aca="false">SUM(AW8:AW16)</f>
        <v>26129326643.8826</v>
      </c>
      <c r="AX17" s="60" t="n">
        <f aca="false">SUM(AX8:AX16)</f>
        <v>28624096246.6896</v>
      </c>
      <c r="AY17" s="60" t="n">
        <f aca="false">SUM(AY8:AY16)</f>
        <v>21931177819.9848</v>
      </c>
      <c r="AZ17" s="60" t="n">
        <f aca="false">SUM(AZ8:AZ16)</f>
        <v>22796596318.6499</v>
      </c>
      <c r="BA17" s="60" t="n">
        <f aca="false">SUM(BA8:BA16)</f>
        <v>25506976899.5117</v>
      </c>
      <c r="BB17" s="60" t="n">
        <f aca="false">SUM(BB8:BB16)</f>
        <v>26085133993.0143</v>
      </c>
      <c r="BC17" s="60" t="n">
        <f aca="false">SUM(BC8:BC16)</f>
        <v>26663291086.5169</v>
      </c>
      <c r="BD17" s="60" t="n">
        <f aca="false">SUM(BD8:BD16)</f>
        <v>30955195837.4745</v>
      </c>
      <c r="BE17" s="60" t="n">
        <f aca="false">SUM(BE8:BE16)</f>
        <v>26663291086.5169</v>
      </c>
      <c r="BF17" s="60" t="n">
        <f aca="false">SUM(BF8:BF16)</f>
        <v>26663291086.5169</v>
      </c>
      <c r="BG17" s="60" t="n">
        <f aca="false">SUM(BG8:BG16)</f>
        <v>26663291086.5169</v>
      </c>
      <c r="BH17" s="60" t="n">
        <f aca="false">SUM(BH8:BH16)</f>
        <v>26707483737.3852</v>
      </c>
      <c r="BI17" s="60" t="n">
        <f aca="false">SUM(BI8:BI16)</f>
        <v>26129326643.8826</v>
      </c>
      <c r="BJ17" s="60" t="n">
        <f aca="false">SUM(BJ8:BJ16)</f>
        <v>28624096246.6896</v>
      </c>
      <c r="BK17" s="60" t="n">
        <f aca="false">SUM(BK8:BK16)</f>
        <v>21931177819.9848</v>
      </c>
      <c r="BL17" s="60" t="n">
        <f aca="false">SUM(BL8:BL16)</f>
        <v>22796596318.6499</v>
      </c>
      <c r="BM17" s="60" t="n">
        <f aca="false">SUM(BM8:BM16)</f>
        <v>25506976899.5117</v>
      </c>
      <c r="BN17" s="60" t="n">
        <f aca="false">SUM(BN8:BN16)</f>
        <v>26085133993.0143</v>
      </c>
      <c r="BO17" s="60" t="n">
        <f aca="false">SUM(BO8:BO16)</f>
        <v>26663291086.5169</v>
      </c>
      <c r="BP17" s="60" t="n">
        <f aca="false">SUM(BP8:BP16)</f>
        <v>30955195837.4745</v>
      </c>
      <c r="BQ17" s="60" t="n">
        <f aca="false">SUM(BQ8:BQ16)</f>
        <v>26663291086.5169</v>
      </c>
      <c r="BR17" s="60" t="n">
        <f aca="false">SUM(BR8:BR16)</f>
        <v>26663291086.5169</v>
      </c>
      <c r="BS17" s="60" t="n">
        <f aca="false">SUM(BS8:BS16)</f>
        <v>26663291086.5169</v>
      </c>
      <c r="BT17" s="60" t="n">
        <f aca="false">SUM(BT8:BT16)</f>
        <v>26707483737.3852</v>
      </c>
      <c r="BU17" s="60" t="n">
        <f aca="false">SUM(BU8:BU16)</f>
        <v>26129326643.8826</v>
      </c>
      <c r="BV17" s="60" t="n">
        <f aca="false">SUM(BV8:BV16)</f>
        <v>28624096246.6896</v>
      </c>
      <c r="BW17" s="60" t="n">
        <f aca="false">SUM(BW8:BW16)</f>
        <v>21931177819.9848</v>
      </c>
      <c r="BX17" s="60" t="n">
        <f aca="false">SUM(BX8:BX16)</f>
        <v>22796596318.6499</v>
      </c>
      <c r="BY17" s="60" t="n">
        <f aca="false">SUM(BY8:BY16)</f>
        <v>25506976899.5117</v>
      </c>
      <c r="BZ17" s="60" t="n">
        <f aca="false">SUM(BZ8:BZ16)</f>
        <v>26085133993.0143</v>
      </c>
      <c r="CA17" s="60" t="n">
        <f aca="false">SUM(CA8:CA16)</f>
        <v>26663291086.5169</v>
      </c>
      <c r="CB17" s="60" t="n">
        <f aca="false">SUM(CB8:CB16)</f>
        <v>30955195837.4745</v>
      </c>
      <c r="CC17" s="60" t="n">
        <f aca="false">SUM(CC8:CC16)</f>
        <v>26663291086.5169</v>
      </c>
      <c r="CD17" s="60" t="n">
        <f aca="false">SUM(CD8:CD16)</f>
        <v>26663291086.5169</v>
      </c>
      <c r="CE17" s="60" t="n">
        <f aca="false">SUM(CE8:CE16)</f>
        <v>26663291086.5169</v>
      </c>
      <c r="CF17" s="60" t="n">
        <f aca="false">SUM(CF8:CF16)</f>
        <v>26707483737.3852</v>
      </c>
      <c r="CG17" s="60" t="n">
        <f aca="false">SUM(CG8:CG16)</f>
        <v>26129326643.8826</v>
      </c>
      <c r="CH17" s="60" t="n">
        <f aca="false">SUM(CH8:CH16)</f>
        <v>28624096246.6896</v>
      </c>
      <c r="CI17" s="60" t="n">
        <f aca="false">SUM(CI8:CI16)</f>
        <v>21931177819.9848</v>
      </c>
      <c r="CJ17" s="60" t="n">
        <f aca="false">SUM(CJ8:CJ16)</f>
        <v>22796596318.6499</v>
      </c>
      <c r="CK17" s="60" t="n">
        <f aca="false">SUM(CK8:CK16)</f>
        <v>25506976899.5117</v>
      </c>
      <c r="CL17" s="60" t="n">
        <f aca="false">SUM(CL8:CL16)</f>
        <v>26085133993.0143</v>
      </c>
      <c r="CM17" s="60" t="n">
        <f aca="false">SUM(CM8:CM16)</f>
        <v>26663291086.5169</v>
      </c>
      <c r="CN17" s="60" t="n">
        <f aca="false">SUM(CN8:CN16)</f>
        <v>30955195837.4745</v>
      </c>
      <c r="CO17" s="60" t="n">
        <f aca="false">SUM(CO8:CO16)</f>
        <v>26663291086.5169</v>
      </c>
      <c r="CP17" s="60" t="n">
        <f aca="false">SUM(CP8:CP16)</f>
        <v>26663291086.5169</v>
      </c>
      <c r="CQ17" s="60" t="n">
        <f aca="false">SUM(CQ8:CQ16)</f>
        <v>26663291086.5169</v>
      </c>
      <c r="CR17" s="60" t="n">
        <f aca="false">SUM(CR8:CR16)</f>
        <v>26707483737.3852</v>
      </c>
      <c r="CS17" s="60" t="n">
        <f aca="false">SUM(CS8:CS16)</f>
        <v>26129326643.8826</v>
      </c>
      <c r="CT17" s="60" t="n">
        <f aca="false">SUM(CT8:CT16)</f>
        <v>28624096246.6896</v>
      </c>
    </row>
    <row r="19" customFormat="false" ht="15" hidden="false" customHeight="true" outlineLevel="0" collapsed="false">
      <c r="B19" s="56" t="s">
        <v>577</v>
      </c>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row>
    <row r="20" customFormat="false" ht="15" hidden="false" customHeight="true" outlineLevel="0" collapsed="false">
      <c r="B20" s="19" t="s">
        <v>578</v>
      </c>
      <c r="C20" s="57" t="n">
        <f aca="false">C8+C9+C15</f>
        <v>8738592393.13761</v>
      </c>
      <c r="D20" s="57" t="n">
        <f aca="false">D8+D9+D15</f>
        <v>12488592393.1376</v>
      </c>
      <c r="E20" s="57" t="n">
        <f aca="false">E8+E9+E15</f>
        <v>8738592393.13761</v>
      </c>
      <c r="F20" s="57" t="n">
        <f aca="false">F8+F9+F15</f>
        <v>8738592393.13761</v>
      </c>
      <c r="G20" s="57" t="n">
        <f aca="false">G8+G9+G15</f>
        <v>12488592393.1376</v>
      </c>
      <c r="H20" s="57" t="n">
        <f aca="false">H8+H9+H15</f>
        <v>13030497144.0953</v>
      </c>
      <c r="I20" s="57" t="n">
        <f aca="false">I8+I9+I15</f>
        <v>8738592393.13761</v>
      </c>
      <c r="J20" s="57" t="n">
        <f aca="false">J8+J9+J15</f>
        <v>12488592393.1376</v>
      </c>
      <c r="K20" s="57" t="n">
        <f aca="false">K8+K9+K15</f>
        <v>8738592393.13761</v>
      </c>
      <c r="L20" s="57" t="n">
        <f aca="false">L8+L9+L15</f>
        <v>8738592393.13761</v>
      </c>
      <c r="M20" s="57" t="n">
        <f aca="false">M8+M9+M15</f>
        <v>12488592393.1376</v>
      </c>
      <c r="N20" s="57" t="n">
        <f aca="false">N8+N9+N15</f>
        <v>13030497144.0953</v>
      </c>
      <c r="O20" s="57" t="n">
        <f aca="false">O8+O9+O15</f>
        <v>8738592393.13761</v>
      </c>
      <c r="P20" s="57" t="n">
        <f aca="false">P8+P9+P15</f>
        <v>12488592393.1376</v>
      </c>
      <c r="Q20" s="57" t="n">
        <f aca="false">Q8+Q9+Q15</f>
        <v>8738592393.13761</v>
      </c>
      <c r="R20" s="57" t="n">
        <f aca="false">R8+R9+R15</f>
        <v>8738592393.13761</v>
      </c>
      <c r="S20" s="57" t="n">
        <f aca="false">S8+S9+S15</f>
        <v>12488592393.1376</v>
      </c>
      <c r="T20" s="57" t="n">
        <f aca="false">T8+T9+T15</f>
        <v>13030497144.0953</v>
      </c>
      <c r="U20" s="57" t="n">
        <f aca="false">U8+U9+U15</f>
        <v>8738592393.13761</v>
      </c>
      <c r="V20" s="57" t="n">
        <f aca="false">V8+V9+V15</f>
        <v>12488592393.1376</v>
      </c>
      <c r="W20" s="57" t="n">
        <f aca="false">W8+W9+W15</f>
        <v>8738592393.13761</v>
      </c>
      <c r="X20" s="57" t="n">
        <f aca="false">X8+X9+X15</f>
        <v>8738592393.13761</v>
      </c>
      <c r="Y20" s="57" t="n">
        <f aca="false">Y8+Y9+Y15</f>
        <v>8738592393.13761</v>
      </c>
      <c r="Z20" s="57" t="n">
        <f aca="false">Z8+Z9+Z15</f>
        <v>13030497144.0953</v>
      </c>
      <c r="AA20" s="57" t="n">
        <f aca="false">AA8+AA9+AA15</f>
        <v>8583809501.91538</v>
      </c>
      <c r="AB20" s="57" t="n">
        <f aca="false">AB8+AB9+AB15</f>
        <v>8583809501.91538</v>
      </c>
      <c r="AC20" s="57" t="n">
        <f aca="false">AC8+AC9+AC15</f>
        <v>8583809501.91538</v>
      </c>
      <c r="AD20" s="57" t="n">
        <f aca="false">AD8+AD9+AD15</f>
        <v>8583809501.91538</v>
      </c>
      <c r="AE20" s="57" t="n">
        <f aca="false">AE8+AE9+AE15</f>
        <v>8583809501.91538</v>
      </c>
      <c r="AF20" s="57" t="n">
        <f aca="false">AF8+AF9+AF15</f>
        <v>12875714252.8731</v>
      </c>
      <c r="AG20" s="57" t="n">
        <f aca="false">AG8+AG9+AG15</f>
        <v>8583809501.91538</v>
      </c>
      <c r="AH20" s="57" t="n">
        <f aca="false">AH8+AH9+AH15</f>
        <v>8583809501.91538</v>
      </c>
      <c r="AI20" s="57" t="n">
        <f aca="false">AI8+AI9+AI15</f>
        <v>8583809501.91538</v>
      </c>
      <c r="AJ20" s="57" t="n">
        <f aca="false">AJ8+AJ9+AJ15</f>
        <v>8583809501.91538</v>
      </c>
      <c r="AK20" s="57" t="n">
        <f aca="false">AK8+AK9+AK15</f>
        <v>8583809501.91538</v>
      </c>
      <c r="AL20" s="57" t="n">
        <f aca="false">AL8+AL9+AL15</f>
        <v>12875714252.8731</v>
      </c>
      <c r="AM20" s="57" t="n">
        <f aca="false">AM8+AM9+AM15</f>
        <v>8583809501.91538</v>
      </c>
      <c r="AN20" s="57" t="n">
        <f aca="false">AN8+AN9+AN15</f>
        <v>8583809501.91538</v>
      </c>
      <c r="AO20" s="57" t="n">
        <f aca="false">AO8+AO9+AO15</f>
        <v>8583809501.91538</v>
      </c>
      <c r="AP20" s="57" t="n">
        <f aca="false">AP8+AP9+AP15</f>
        <v>8583809501.91538</v>
      </c>
      <c r="AQ20" s="57" t="n">
        <f aca="false">AQ8+AQ9+AQ15</f>
        <v>8583809501.91538</v>
      </c>
      <c r="AR20" s="57" t="n">
        <f aca="false">AR8+AR9+AR15</f>
        <v>12875714252.8731</v>
      </c>
      <c r="AS20" s="57" t="n">
        <f aca="false">AS8+AS9+AS15</f>
        <v>8583809501.91538</v>
      </c>
      <c r="AT20" s="57" t="n">
        <f aca="false">AT8+AT9+AT15</f>
        <v>8583809501.91538</v>
      </c>
      <c r="AU20" s="57" t="n">
        <f aca="false">AU8+AU9+AU15</f>
        <v>8583809501.91538</v>
      </c>
      <c r="AV20" s="57" t="n">
        <f aca="false">AV8+AV9+AV15</f>
        <v>8583809501.91538</v>
      </c>
      <c r="AW20" s="57" t="n">
        <f aca="false">AW8+AW9+AW15</f>
        <v>8583809501.91538</v>
      </c>
      <c r="AX20" s="57" t="n">
        <f aca="false">AX8+AX9+AX15</f>
        <v>12875714252.8731</v>
      </c>
      <c r="AY20" s="57" t="n">
        <f aca="false">AY8+AY9+AY15</f>
        <v>8583809501.91538</v>
      </c>
      <c r="AZ20" s="57" t="n">
        <f aca="false">AZ8+AZ9+AZ15</f>
        <v>8583809501.91538</v>
      </c>
      <c r="BA20" s="57" t="n">
        <f aca="false">BA8+BA9+BA15</f>
        <v>8583809501.91538</v>
      </c>
      <c r="BB20" s="57" t="n">
        <f aca="false">BB8+BB9+BB15</f>
        <v>8583809501.91538</v>
      </c>
      <c r="BC20" s="57" t="n">
        <f aca="false">BC8+BC9+BC15</f>
        <v>8583809501.91538</v>
      </c>
      <c r="BD20" s="57" t="n">
        <f aca="false">BD8+BD9+BD15</f>
        <v>12875714252.8731</v>
      </c>
      <c r="BE20" s="57" t="n">
        <f aca="false">BE8+BE9+BE15</f>
        <v>8583809501.91538</v>
      </c>
      <c r="BF20" s="57" t="n">
        <f aca="false">BF8+BF9+BF15</f>
        <v>8583809501.91538</v>
      </c>
      <c r="BG20" s="57" t="n">
        <f aca="false">BG8+BG9+BG15</f>
        <v>8583809501.91538</v>
      </c>
      <c r="BH20" s="57" t="n">
        <f aca="false">BH8+BH9+BH15</f>
        <v>8583809501.91538</v>
      </c>
      <c r="BI20" s="57" t="n">
        <f aca="false">BI8+BI9+BI15</f>
        <v>8583809501.91538</v>
      </c>
      <c r="BJ20" s="57" t="n">
        <f aca="false">BJ8+BJ9+BJ15</f>
        <v>12875714252.8731</v>
      </c>
      <c r="BK20" s="57" t="n">
        <f aca="false">BK8+BK9+BK15</f>
        <v>8583809501.91538</v>
      </c>
      <c r="BL20" s="57" t="n">
        <f aca="false">BL8+BL9+BL15</f>
        <v>8583809501.91538</v>
      </c>
      <c r="BM20" s="57" t="n">
        <f aca="false">BM8+BM9+BM15</f>
        <v>8583809501.91538</v>
      </c>
      <c r="BN20" s="57" t="n">
        <f aca="false">BN8+BN9+BN15</f>
        <v>8583809501.91538</v>
      </c>
      <c r="BO20" s="57" t="n">
        <f aca="false">BO8+BO9+BO15</f>
        <v>8583809501.91538</v>
      </c>
      <c r="BP20" s="57" t="n">
        <f aca="false">BP8+BP9+BP15</f>
        <v>12875714252.8731</v>
      </c>
      <c r="BQ20" s="57" t="n">
        <f aca="false">BQ8+BQ9+BQ15</f>
        <v>8583809501.91538</v>
      </c>
      <c r="BR20" s="57" t="n">
        <f aca="false">BR8+BR9+BR15</f>
        <v>8583809501.91538</v>
      </c>
      <c r="BS20" s="57" t="n">
        <f aca="false">BS8+BS9+BS15</f>
        <v>8583809501.91538</v>
      </c>
      <c r="BT20" s="57" t="n">
        <f aca="false">BT8+BT9+BT15</f>
        <v>8583809501.91538</v>
      </c>
      <c r="BU20" s="57" t="n">
        <f aca="false">BU8+BU9+BU15</f>
        <v>8583809501.91538</v>
      </c>
      <c r="BV20" s="57" t="n">
        <f aca="false">BV8+BV9+BV15</f>
        <v>12875714252.8731</v>
      </c>
      <c r="BW20" s="57" t="n">
        <f aca="false">BW8+BW9+BW15</f>
        <v>8583809501.91538</v>
      </c>
      <c r="BX20" s="57" t="n">
        <f aca="false">BX8+BX9+BX15</f>
        <v>8583809501.91538</v>
      </c>
      <c r="BY20" s="57" t="n">
        <f aca="false">BY8+BY9+BY15</f>
        <v>8583809501.91538</v>
      </c>
      <c r="BZ20" s="57" t="n">
        <f aca="false">BZ8+BZ9+BZ15</f>
        <v>8583809501.91538</v>
      </c>
      <c r="CA20" s="57" t="n">
        <f aca="false">CA8+CA9+CA15</f>
        <v>8583809501.91538</v>
      </c>
      <c r="CB20" s="57" t="n">
        <f aca="false">CB8+CB9+CB15</f>
        <v>12875714252.8731</v>
      </c>
      <c r="CC20" s="57" t="n">
        <f aca="false">CC8+CC9+CC15</f>
        <v>8583809501.91538</v>
      </c>
      <c r="CD20" s="57" t="n">
        <f aca="false">CD8+CD9+CD15</f>
        <v>8583809501.91538</v>
      </c>
      <c r="CE20" s="57" t="n">
        <f aca="false">CE8+CE9+CE15</f>
        <v>8583809501.91538</v>
      </c>
      <c r="CF20" s="57" t="n">
        <f aca="false">CF8+CF9+CF15</f>
        <v>8583809501.91538</v>
      </c>
      <c r="CG20" s="57" t="n">
        <f aca="false">CG8+CG9+CG15</f>
        <v>8583809501.91538</v>
      </c>
      <c r="CH20" s="57" t="n">
        <f aca="false">CH8+CH9+CH15</f>
        <v>12875714252.8731</v>
      </c>
      <c r="CI20" s="57" t="n">
        <f aca="false">CI8+CI9+CI15</f>
        <v>8583809501.91538</v>
      </c>
      <c r="CJ20" s="57" t="n">
        <f aca="false">CJ8+CJ9+CJ15</f>
        <v>8583809501.91538</v>
      </c>
      <c r="CK20" s="57" t="n">
        <f aca="false">CK8+CK9+CK15</f>
        <v>8583809501.91538</v>
      </c>
      <c r="CL20" s="57" t="n">
        <f aca="false">CL8+CL9+CL15</f>
        <v>8583809501.91538</v>
      </c>
      <c r="CM20" s="57" t="n">
        <f aca="false">CM8+CM9+CM15</f>
        <v>8583809501.91538</v>
      </c>
      <c r="CN20" s="57" t="n">
        <f aca="false">CN8+CN9+CN15</f>
        <v>12875714252.8731</v>
      </c>
      <c r="CO20" s="57" t="n">
        <f aca="false">CO8+CO9+CO15</f>
        <v>8583809501.91538</v>
      </c>
      <c r="CP20" s="57" t="n">
        <f aca="false">CP8+CP9+CP15</f>
        <v>8583809501.91538</v>
      </c>
      <c r="CQ20" s="57" t="n">
        <f aca="false">CQ8+CQ9+CQ15</f>
        <v>8583809501.91538</v>
      </c>
      <c r="CR20" s="57" t="n">
        <f aca="false">CR8+CR9+CR15</f>
        <v>8583809501.91538</v>
      </c>
      <c r="CS20" s="57" t="n">
        <f aca="false">CS8+CS9+CS15</f>
        <v>8583809501.91538</v>
      </c>
      <c r="CT20" s="57" t="n">
        <f aca="false">CT8+CT9+CT15</f>
        <v>12875714252.8731</v>
      </c>
    </row>
    <row r="21" customFormat="false" ht="15" hidden="false" customHeight="true" outlineLevel="0" collapsed="false">
      <c r="B21" s="19" t="s">
        <v>579</v>
      </c>
      <c r="C21" s="57" t="n">
        <f aca="false">C10+C11+C13+C14+C16</f>
        <v>11250672127.1449</v>
      </c>
      <c r="D21" s="57" t="n">
        <f aca="false">D10+D11+D13+D14+D16</f>
        <v>11537933532.3074</v>
      </c>
      <c r="E21" s="57" t="n">
        <f aca="false">(E10+E11+E13+E14+E16)*(MAX(0,1-Supuestos!$C$37))+(D10+D11+D13+D14+D16)*(MAX(0,MIN(Supuestos!$C$37,1)-MAX(0,Supuestos!$C$37-1)))+(C10+C11+C13+C14+C16)*(MAX(0,MIN(Supuestos!$C$37-1,1)))</f>
        <v>11537933532.3074</v>
      </c>
      <c r="F21" s="57" t="n">
        <f aca="false">(F10+F11+F13+F14+F16)*(MAX(0,1-Supuestos!$C$37))+(E10+E11+E13+E14+E16)*(MAX(0,MIN(Supuestos!$C$37,1)-MAX(0,Supuestos!$C$37-1)))+(D10+D11+D13+D14+D16)*(MAX(0,MIN(Supuestos!$C$37-1,1)))</f>
        <v>11935685739.1588</v>
      </c>
      <c r="G21" s="57" t="n">
        <f aca="false">(G10+G11+G13+G14+G16)*(MAX(0,1-Supuestos!$C$37))+(F10+F11+F13+F14+F16)*(MAX(0,MIN(Supuestos!$C$37,1)-MAX(0,Supuestos!$C$37-1)))+(E10+E11+E13+E14+E16)*(MAX(0,MIN(Supuestos!$C$37-1,1)))</f>
        <v>11935685739.1588</v>
      </c>
      <c r="H21" s="57" t="n">
        <f aca="false">(H10+H11+H13+H14+H16)*(MAX(0,1-Supuestos!$C$37))+(G10+G11+G13+G14+G16)*(MAX(0,MIN(Supuestos!$C$37,1)-MAX(0,Supuestos!$C$37-1)))+(F10+F11+F13+F14+F16)*(MAX(0,MIN(Supuestos!$C$37-1,1)))</f>
        <v>11935685739.1588</v>
      </c>
      <c r="I21" s="57" t="n">
        <f aca="false">(I10+I11+I13+I14+I16)*(MAX(0,1-Supuestos!$C$37))+(H10+H11+H13+H14+H16)*(MAX(0,MIN(Supuestos!$C$37,1)-MAX(0,Supuestos!$C$37-1)))+(G10+G11+G13+G14+G16)*(MAX(0,MIN(Supuestos!$C$37-1,1)))</f>
        <v>11935685739.1588</v>
      </c>
      <c r="J21" s="57" t="n">
        <f aca="false">(J10+J11+J13+J14+J16)*(MAX(0,1-Supuestos!$C$37))+(I10+I11+I13+I14+I16)*(MAX(0,MIN(Supuestos!$C$37,1)-MAX(0,Supuestos!$C$37-1)))+(H10+H11+H13+H14+H16)*(MAX(0,MIN(Supuestos!$C$37-1,1)))</f>
        <v>11935685739.1588</v>
      </c>
      <c r="K21" s="57" t="n">
        <f aca="false">(K10+K11+K13+K14+K16)*(MAX(0,1-Supuestos!$C$37))+(J10+J11+J13+J14+J16)*(MAX(0,MIN(Supuestos!$C$37,1)-MAX(0,Supuestos!$C$37-1)))+(I10+I11+I13+I14+I16)*(MAX(0,MIN(Supuestos!$C$37-1,1)))</f>
        <v>11935685739.1588</v>
      </c>
      <c r="L21" s="57" t="n">
        <f aca="false">(L10+L11+L13+L14+L16)*(MAX(0,1-Supuestos!$C$37))+(K10+K11+K13+K14+K16)*(MAX(0,MIN(Supuestos!$C$37,1)-MAX(0,Supuestos!$C$37-1)))+(J10+J11+J13+J14+J16)*(MAX(0,MIN(Supuestos!$C$37-1,1)))</f>
        <v>11935685739.1588</v>
      </c>
      <c r="M21" s="57" t="n">
        <f aca="false">(M10+M11+M13+M14+M16)*(MAX(0,1-Supuestos!$C$37))+(L10+L11+L13+L14+L16)*(MAX(0,MIN(Supuestos!$C$37,1)-MAX(0,Supuestos!$C$37-1)))+(K10+K11+K13+K14+K16)*(MAX(0,MIN(Supuestos!$C$37-1,1)))</f>
        <v>11979878390.0272</v>
      </c>
      <c r="N21" s="57" t="n">
        <f aca="false">(N10+N11+N13+N14+N16)*(MAX(0,1-Supuestos!$C$37))+(M10+M11+M13+M14+M16)*(MAX(0,MIN(Supuestos!$C$37,1)-MAX(0,Supuestos!$C$37-1)))+(L10+L11+L13+L14+L16)*(MAX(0,MIN(Supuestos!$C$37-1,1)))</f>
        <v>11979878390.0272</v>
      </c>
      <c r="O21" s="57" t="n">
        <f aca="false">(O10+O11+O13+O14+O16)*(MAX(0,1-Supuestos!$C$37))+(N10+N11+N13+N14+N16)*(MAX(0,MIN(Supuestos!$C$37,1)-MAX(0,Supuestos!$C$37-1)))+(M10+M11+M13+M14+M16)*(MAX(0,MIN(Supuestos!$C$37-1,1)))</f>
        <v>11339057428.8817</v>
      </c>
      <c r="P21" s="57" t="n">
        <f aca="false">(P10+P11+P13+P14+P16)*(MAX(0,1-Supuestos!$C$37))+(O10+O11+O13+O14+O16)*(MAX(0,MIN(Supuestos!$C$37,1)-MAX(0,Supuestos!$C$37-1)))+(N10+N11+N13+N14+N16)*(MAX(0,MIN(Supuestos!$C$37-1,1)))</f>
        <v>11415344583.9605</v>
      </c>
      <c r="Q21" s="57" t="n">
        <f aca="false">(Q10+Q11+Q13+Q14+Q16)*(MAX(0,1-Supuestos!$C$37))+(P10+P11+P13+P14+P16)*(MAX(0,MIN(Supuestos!$C$37,1)-MAX(0,Supuestos!$C$37-1)))+(O10+O11+O13+O14+O16)*(MAX(0,MIN(Supuestos!$C$37-1,1)))</f>
        <v>11702605989.123</v>
      </c>
      <c r="R21" s="57" t="n">
        <f aca="false">(R10+R11+R13+R14+R16)*(MAX(0,1-Supuestos!$C$37))+(Q10+Q11+Q13+Q14+Q16)*(MAX(0,MIN(Supuestos!$C$37,1)-MAX(0,Supuestos!$C$37-1)))+(P10+P11+P13+P14+P16)*(MAX(0,MIN(Supuestos!$C$37-1,1)))</f>
        <v>12100358195.9744</v>
      </c>
      <c r="S21" s="57" t="n">
        <f aca="false">(S10+S11+S13+S14+S16)*(MAX(0,1-Supuestos!$C$37))+(R10+R11+R13+R14+R16)*(MAX(0,MIN(Supuestos!$C$37,1)-MAX(0,Supuestos!$C$37-1)))+(Q10+Q11+Q13+Q14+Q16)*(MAX(0,MIN(Supuestos!$C$37-1,1)))</f>
        <v>12100358195.9744</v>
      </c>
      <c r="T21" s="57" t="n">
        <f aca="false">(T10+T11+T13+T14+T16)*(MAX(0,1-Supuestos!$C$37))+(S10+S11+S13+S14+S16)*(MAX(0,MIN(Supuestos!$C$37,1)-MAX(0,Supuestos!$C$37-1)))+(R10+R11+R13+R14+R16)*(MAX(0,MIN(Supuestos!$C$37-1,1)))</f>
        <v>12100358195.9744</v>
      </c>
      <c r="U21" s="57" t="n">
        <f aca="false">(U10+U11+U13+U14+U16)*(MAX(0,1-Supuestos!$C$37))+(T10+T11+T13+T14+T16)*(MAX(0,MIN(Supuestos!$C$37,1)-MAX(0,Supuestos!$C$37-1)))+(S10+S11+S13+S14+S16)*(MAX(0,MIN(Supuestos!$C$37-1,1)))</f>
        <v>12100358195.9744</v>
      </c>
      <c r="V21" s="57" t="n">
        <f aca="false">(V10+V11+V13+V14+V16)*(MAX(0,1-Supuestos!$C$37))+(U10+U11+U13+U14+U16)*(MAX(0,MIN(Supuestos!$C$37,1)-MAX(0,Supuestos!$C$37-1)))+(T10+T11+T13+T14+T16)*(MAX(0,MIN(Supuestos!$C$37-1,1)))</f>
        <v>12100358195.9744</v>
      </c>
      <c r="W21" s="57" t="n">
        <f aca="false">(W10+W11+W13+W14+W16)*(MAX(0,1-Supuestos!$C$37))+(V10+V11+V13+V14+V16)*(MAX(0,MIN(Supuestos!$C$37,1)-MAX(0,Supuestos!$C$37-1)))+(U10+U11+U13+U14+U16)*(MAX(0,MIN(Supuestos!$C$37-1,1)))</f>
        <v>12100358195.9744</v>
      </c>
      <c r="X21" s="57" t="n">
        <f aca="false">(X10+X11+X13+X14+X16)*(MAX(0,1-Supuestos!$C$37))+(W10+W11+W13+W14+W16)*(MAX(0,MIN(Supuestos!$C$37,1)-MAX(0,Supuestos!$C$37-1)))+(V10+V11+V13+V14+V16)*(MAX(0,MIN(Supuestos!$C$37-1,1)))</f>
        <v>12100358195.9744</v>
      </c>
      <c r="Y21" s="57" t="n">
        <f aca="false">(Y10+Y11+Y13+Y14+Y16)*(MAX(0,1-Supuestos!$C$37))+(X10+X11+X13+X14+X16)*(MAX(0,MIN(Supuestos!$C$37,1)-MAX(0,Supuestos!$C$37-1)))+(W10+W11+W13+W14+W16)*(MAX(0,MIN(Supuestos!$C$37-1,1)))</f>
        <v>12144550846.8428</v>
      </c>
      <c r="Z21" s="57" t="n">
        <f aca="false">(Z10+Z11+Z13+Z14+Z16)*(MAX(0,1-Supuestos!$C$37))+(Y10+Y11+Y13+Y14+Y16)*(MAX(0,MIN(Supuestos!$C$37,1)-MAX(0,Supuestos!$C$37-1)))+(X10+X11+X13+X14+X16)*(MAX(0,MIN(Supuestos!$C$37-1,1)))</f>
        <v>12144550846.8428</v>
      </c>
      <c r="AA21" s="57" t="n">
        <f aca="false">(AA10+AA11+AA13+AA14+AA16)*(MAX(0,1-Supuestos!$C$37))+(Z10+Z11+Z13+Z14+Z16)*(MAX(0,MIN(Supuestos!$C$37,1)-MAX(0,Supuestos!$C$37-1)))+(Y10+Y11+Y13+Y14+Y16)*(MAX(0,MIN(Supuestos!$C$37-1,1)))</f>
        <v>11503729885.6973</v>
      </c>
      <c r="AB21" s="57" t="n">
        <f aca="false">(AB10+AB11+AB13+AB14+AB16)*(MAX(0,1-Supuestos!$C$37))+(AA10+AA11+AA13+AA14+AA16)*(MAX(0,MIN(Supuestos!$C$37,1)-MAX(0,Supuestos!$C$37-1)))+(Z10+Z11+Z13+Z14+Z16)*(MAX(0,MIN(Supuestos!$C$37-1,1)))</f>
        <v>11565869460.2016</v>
      </c>
      <c r="AC21" s="57" t="n">
        <f aca="false">(AC10+AC11+AC13+AC14+AC16)*(MAX(0,1-Supuestos!$C$37))+(AB10+AB11+AB13+AB14+AB16)*(MAX(0,MIN(Supuestos!$C$37,1)-MAX(0,Supuestos!$C$37-1)))+(AA10+AA11+AA13+AA14+AA16)*(MAX(0,MIN(Supuestos!$C$37-1,1)))</f>
        <v>11853130865.3641</v>
      </c>
      <c r="AD21" s="57" t="n">
        <f aca="false">(AD10+AD11+AD13+AD14+AD16)*(MAX(0,1-Supuestos!$C$37))+(AC10+AC11+AC13+AC14+AC16)*(MAX(0,MIN(Supuestos!$C$37,1)-MAX(0,Supuestos!$C$37-1)))+(AB10+AB11+AB13+AB14+AB16)*(MAX(0,MIN(Supuestos!$C$37-1,1)))</f>
        <v>12250883072.2155</v>
      </c>
      <c r="AE21" s="57" t="n">
        <f aca="false">(AE10+AE11+AE13+AE14+AE16)*(MAX(0,1-Supuestos!$C$37))+(AD10+AD11+AD13+AD14+AD16)*(MAX(0,MIN(Supuestos!$C$37,1)-MAX(0,Supuestos!$C$37-1)))+(AC10+AC11+AC13+AC14+AC16)*(MAX(0,MIN(Supuestos!$C$37-1,1)))</f>
        <v>12250883072.2155</v>
      </c>
      <c r="AF21" s="57" t="n">
        <f aca="false">(AF10+AF11+AF13+AF14+AF16)*(MAX(0,1-Supuestos!$C$37))+(AE10+AE11+AE13+AE14+AE16)*(MAX(0,MIN(Supuestos!$C$37,1)-MAX(0,Supuestos!$C$37-1)))+(AD10+AD11+AD13+AD14+AD16)*(MAX(0,MIN(Supuestos!$C$37-1,1)))</f>
        <v>12250883072.2155</v>
      </c>
      <c r="AG21" s="57" t="n">
        <f aca="false">(AG10+AG11+AG13+AG14+AG16)*(MAX(0,1-Supuestos!$C$37))+(AF10+AF11+AF13+AF14+AF16)*(MAX(0,MIN(Supuestos!$C$37,1)-MAX(0,Supuestos!$C$37-1)))+(AE10+AE11+AE13+AE14+AE16)*(MAX(0,MIN(Supuestos!$C$37-1,1)))</f>
        <v>12250883072.2155</v>
      </c>
      <c r="AH21" s="57" t="n">
        <f aca="false">(AH10+AH11+AH13+AH14+AH16)*(MAX(0,1-Supuestos!$C$37))+(AG10+AG11+AG13+AG14+AG16)*(MAX(0,MIN(Supuestos!$C$37,1)-MAX(0,Supuestos!$C$37-1)))+(AF10+AF11+AF13+AF14+AF16)*(MAX(0,MIN(Supuestos!$C$37-1,1)))</f>
        <v>12250883072.2155</v>
      </c>
      <c r="AI21" s="57" t="n">
        <f aca="false">(AI10+AI11+AI13+AI14+AI16)*(MAX(0,1-Supuestos!$C$37))+(AH10+AH11+AH13+AH14+AH16)*(MAX(0,MIN(Supuestos!$C$37,1)-MAX(0,Supuestos!$C$37-1)))+(AG10+AG11+AG13+AG14+AG16)*(MAX(0,MIN(Supuestos!$C$37-1,1)))</f>
        <v>12250883072.2155</v>
      </c>
      <c r="AJ21" s="57" t="n">
        <f aca="false">(AJ10+AJ11+AJ13+AJ14+AJ16)*(MAX(0,1-Supuestos!$C$37))+(AI10+AI11+AI13+AI14+AI16)*(MAX(0,MIN(Supuestos!$C$37,1)-MAX(0,Supuestos!$C$37-1)))+(AH10+AH11+AH13+AH14+AH16)*(MAX(0,MIN(Supuestos!$C$37-1,1)))</f>
        <v>12250883072.2155</v>
      </c>
      <c r="AK21" s="57" t="n">
        <f aca="false">(AK10+AK11+AK13+AK14+AK16)*(MAX(0,1-Supuestos!$C$37))+(AJ10+AJ11+AJ13+AJ14+AJ16)*(MAX(0,MIN(Supuestos!$C$37,1)-MAX(0,Supuestos!$C$37-1)))+(AI10+AI11+AI13+AI14+AI16)*(MAX(0,MIN(Supuestos!$C$37-1,1)))</f>
        <v>12295075723.0839</v>
      </c>
      <c r="AL21" s="57" t="n">
        <f aca="false">(AL10+AL11+AL13+AL14+AL16)*(MAX(0,1-Supuestos!$C$37))+(AK10+AK11+AK13+AK14+AK16)*(MAX(0,MIN(Supuestos!$C$37,1)-MAX(0,Supuestos!$C$37-1)))+(AJ10+AJ11+AJ13+AJ14+AJ16)*(MAX(0,MIN(Supuestos!$C$37-1,1)))</f>
        <v>12295075723.0839</v>
      </c>
      <c r="AM21" s="57" t="n">
        <f aca="false">(AM10+AM11+AM13+AM14+AM16)*(MAX(0,1-Supuestos!$C$37))+(AL10+AL11+AL13+AL14+AL16)*(MAX(0,MIN(Supuestos!$C$37,1)-MAX(0,Supuestos!$C$37-1)))+(AK10+AK11+AK13+AK14+AK16)*(MAX(0,MIN(Supuestos!$C$37-1,1)))</f>
        <v>11654254761.9384</v>
      </c>
      <c r="AN21" s="57" t="n">
        <f aca="false">(AN10+AN11+AN13+AN14+AN16)*(MAX(0,1-Supuestos!$C$37))+(AM10+AM11+AM13+AM14+AM16)*(MAX(0,MIN(Supuestos!$C$37,1)-MAX(0,Supuestos!$C$37-1)))+(AL10+AL11+AL13+AL14+AL16)*(MAX(0,MIN(Supuestos!$C$37-1,1)))</f>
        <v>11612897037.5616</v>
      </c>
      <c r="AO21" s="57" t="n">
        <f aca="false">(AO10+AO11+AO13+AO14+AO16)*(MAX(0,1-Supuestos!$C$37))+(AN10+AN11+AN13+AN14+AN16)*(MAX(0,MIN(Supuestos!$C$37,1)-MAX(0,Supuestos!$C$37-1)))+(AM10+AM11+AM13+AM14+AM16)*(MAX(0,MIN(Supuestos!$C$37-1,1)))</f>
        <v>11900158442.7241</v>
      </c>
      <c r="AP21" s="57" t="n">
        <f aca="false">(AP10+AP11+AP13+AP14+AP16)*(MAX(0,1-Supuestos!$C$37))+(AO10+AO11+AO13+AO14+AO16)*(MAX(0,MIN(Supuestos!$C$37,1)-MAX(0,Supuestos!$C$37-1)))+(AN10+AN11+AN13+AN14+AN16)*(MAX(0,MIN(Supuestos!$C$37-1,1)))</f>
        <v>12297910649.5755</v>
      </c>
      <c r="AQ21" s="57" t="n">
        <f aca="false">(AQ10+AQ11+AQ13+AQ14+AQ16)*(MAX(0,1-Supuestos!$C$37))+(AP10+AP11+AP13+AP14+AP16)*(MAX(0,MIN(Supuestos!$C$37,1)-MAX(0,Supuestos!$C$37-1)))+(AO10+AO11+AO13+AO14+AO16)*(MAX(0,MIN(Supuestos!$C$37-1,1)))</f>
        <v>12297910649.5755</v>
      </c>
      <c r="AR21" s="57" t="n">
        <f aca="false">(AR10+AR11+AR13+AR14+AR16)*(MAX(0,1-Supuestos!$C$37))+(AQ10+AQ11+AQ13+AQ14+AQ16)*(MAX(0,MIN(Supuestos!$C$37,1)-MAX(0,Supuestos!$C$37-1)))+(AP10+AP11+AP13+AP14+AP16)*(MAX(0,MIN(Supuestos!$C$37-1,1)))</f>
        <v>12297910649.5755</v>
      </c>
      <c r="AS21" s="57" t="n">
        <f aca="false">(AS10+AS11+AS13+AS14+AS16)*(MAX(0,1-Supuestos!$C$37))+(AR10+AR11+AR13+AR14+AR16)*(MAX(0,MIN(Supuestos!$C$37,1)-MAX(0,Supuestos!$C$37-1)))+(AQ10+AQ11+AQ13+AQ14+AQ16)*(MAX(0,MIN(Supuestos!$C$37-1,1)))</f>
        <v>12297910649.5755</v>
      </c>
      <c r="AT21" s="57" t="n">
        <f aca="false">(AT10+AT11+AT13+AT14+AT16)*(MAX(0,1-Supuestos!$C$37))+(AS10+AS11+AS13+AS14+AS16)*(MAX(0,MIN(Supuestos!$C$37,1)-MAX(0,Supuestos!$C$37-1)))+(AR10+AR11+AR13+AR14+AR16)*(MAX(0,MIN(Supuestos!$C$37-1,1)))</f>
        <v>12297910649.5755</v>
      </c>
      <c r="AU21" s="57" t="n">
        <f aca="false">(AU10+AU11+AU13+AU14+AU16)*(MAX(0,1-Supuestos!$C$37))+(AT10+AT11+AT13+AT14+AT16)*(MAX(0,MIN(Supuestos!$C$37,1)-MAX(0,Supuestos!$C$37-1)))+(AS10+AS11+AS13+AS14+AS16)*(MAX(0,MIN(Supuestos!$C$37-1,1)))</f>
        <v>12297910649.5755</v>
      </c>
      <c r="AV21" s="57" t="n">
        <f aca="false">(AV10+AV11+AV13+AV14+AV16)*(MAX(0,1-Supuestos!$C$37))+(AU10+AU11+AU13+AU14+AU16)*(MAX(0,MIN(Supuestos!$C$37,1)-MAX(0,Supuestos!$C$37-1)))+(AT10+AT11+AT13+AT14+AT16)*(MAX(0,MIN(Supuestos!$C$37-1,1)))</f>
        <v>12297910649.5755</v>
      </c>
      <c r="AW21" s="57" t="n">
        <f aca="false">(AW10+AW11+AW13+AW14+AW16)*(MAX(0,1-Supuestos!$C$37))+(AV10+AV11+AV13+AV14+AV16)*(MAX(0,MIN(Supuestos!$C$37,1)-MAX(0,Supuestos!$C$37-1)))+(AU10+AU11+AU13+AU14+AU16)*(MAX(0,MIN(Supuestos!$C$37-1,1)))</f>
        <v>12342103300.4438</v>
      </c>
      <c r="AX21" s="57" t="n">
        <f aca="false">(AX10+AX11+AX13+AX14+AX16)*(MAX(0,1-Supuestos!$C$37))+(AW10+AW11+AW13+AW14+AW16)*(MAX(0,MIN(Supuestos!$C$37,1)-MAX(0,Supuestos!$C$37-1)))+(AV10+AV11+AV13+AV14+AV16)*(MAX(0,MIN(Supuestos!$C$37-1,1)))</f>
        <v>12342103300.4438</v>
      </c>
      <c r="AY21" s="57" t="n">
        <f aca="false">(AY10+AY11+AY13+AY14+AY16)*(MAX(0,1-Supuestos!$C$37))+(AX10+AX11+AX13+AX14+AX16)*(MAX(0,MIN(Supuestos!$C$37,1)-MAX(0,Supuestos!$C$37-1)))+(AW10+AW11+AW13+AW14+AW16)*(MAX(0,MIN(Supuestos!$C$37-1,1)))</f>
        <v>11701282339.2984</v>
      </c>
      <c r="AZ21" s="57" t="n">
        <f aca="false">(AZ10+AZ11+AZ13+AZ14+AZ16)*(MAX(0,1-Supuestos!$C$37))+(AY10+AY11+AY13+AY14+AY16)*(MAX(0,MIN(Supuestos!$C$37,1)-MAX(0,Supuestos!$C$37-1)))+(AX10+AX11+AX13+AX14+AX16)*(MAX(0,MIN(Supuestos!$C$37-1,1)))</f>
        <v>11612897037.5616</v>
      </c>
      <c r="BA21" s="57" t="n">
        <f aca="false">(BA10+BA11+BA13+BA14+BA16)*(MAX(0,1-Supuestos!$C$37))+(AZ10+AZ11+AZ13+AZ14+AZ16)*(MAX(0,MIN(Supuestos!$C$37,1)-MAX(0,Supuestos!$C$37-1)))+(AY10+AY11+AY13+AY14+AY16)*(MAX(0,MIN(Supuestos!$C$37-1,1)))</f>
        <v>11900158442.7241</v>
      </c>
      <c r="BB21" s="57" t="n">
        <f aca="false">(BB10+BB11+BB13+BB14+BB16)*(MAX(0,1-Supuestos!$C$37))+(BA10+BA11+BA13+BA14+BA16)*(MAX(0,MIN(Supuestos!$C$37,1)-MAX(0,Supuestos!$C$37-1)))+(AZ10+AZ11+AZ13+AZ14+AZ16)*(MAX(0,MIN(Supuestos!$C$37-1,1)))</f>
        <v>12297910649.5755</v>
      </c>
      <c r="BC21" s="57" t="n">
        <f aca="false">(BC10+BC11+BC13+BC14+BC16)*(MAX(0,1-Supuestos!$C$37))+(BB10+BB11+BB13+BB14+BB16)*(MAX(0,MIN(Supuestos!$C$37,1)-MAX(0,Supuestos!$C$37-1)))+(BA10+BA11+BA13+BA14+BA16)*(MAX(0,MIN(Supuestos!$C$37-1,1)))</f>
        <v>12297910649.5755</v>
      </c>
      <c r="BD21" s="57" t="n">
        <f aca="false">(BD10+BD11+BD13+BD14+BD16)*(MAX(0,1-Supuestos!$C$37))+(BC10+BC11+BC13+BC14+BC16)*(MAX(0,MIN(Supuestos!$C$37,1)-MAX(0,Supuestos!$C$37-1)))+(BB10+BB11+BB13+BB14+BB16)*(MAX(0,MIN(Supuestos!$C$37-1,1)))</f>
        <v>12297910649.5755</v>
      </c>
      <c r="BE21" s="57" t="n">
        <f aca="false">(BE10+BE11+BE13+BE14+BE16)*(MAX(0,1-Supuestos!$C$37))+(BD10+BD11+BD13+BD14+BD16)*(MAX(0,MIN(Supuestos!$C$37,1)-MAX(0,Supuestos!$C$37-1)))+(BC10+BC11+BC13+BC14+BC16)*(MAX(0,MIN(Supuestos!$C$37-1,1)))</f>
        <v>12297910649.5755</v>
      </c>
      <c r="BF21" s="57" t="n">
        <f aca="false">(BF10+BF11+BF13+BF14+BF16)*(MAX(0,1-Supuestos!$C$37))+(BE10+BE11+BE13+BE14+BE16)*(MAX(0,MIN(Supuestos!$C$37,1)-MAX(0,Supuestos!$C$37-1)))+(BD10+BD11+BD13+BD14+BD16)*(MAX(0,MIN(Supuestos!$C$37-1,1)))</f>
        <v>12297910649.5755</v>
      </c>
      <c r="BG21" s="57" t="n">
        <f aca="false">(BG10+BG11+BG13+BG14+BG16)*(MAX(0,1-Supuestos!$C$37))+(BF10+BF11+BF13+BF14+BF16)*(MAX(0,MIN(Supuestos!$C$37,1)-MAX(0,Supuestos!$C$37-1)))+(BE10+BE11+BE13+BE14+BE16)*(MAX(0,MIN(Supuestos!$C$37-1,1)))</f>
        <v>12297910649.5755</v>
      </c>
      <c r="BH21" s="57" t="n">
        <f aca="false">(BH10+BH11+BH13+BH14+BH16)*(MAX(0,1-Supuestos!$C$37))+(BG10+BG11+BG13+BG14+BG16)*(MAX(0,MIN(Supuestos!$C$37,1)-MAX(0,Supuestos!$C$37-1)))+(BF10+BF11+BF13+BF14+BF16)*(MAX(0,MIN(Supuestos!$C$37-1,1)))</f>
        <v>12297910649.5755</v>
      </c>
      <c r="BI21" s="57" t="n">
        <f aca="false">(BI10+BI11+BI13+BI14+BI16)*(MAX(0,1-Supuestos!$C$37))+(BH10+BH11+BH13+BH14+BH16)*(MAX(0,MIN(Supuestos!$C$37,1)-MAX(0,Supuestos!$C$37-1)))+(BG10+BG11+BG13+BG14+BG16)*(MAX(0,MIN(Supuestos!$C$37-1,1)))</f>
        <v>12342103300.4438</v>
      </c>
      <c r="BJ21" s="57" t="n">
        <f aca="false">(BJ10+BJ11+BJ13+BJ14+BJ16)*(MAX(0,1-Supuestos!$C$37))+(BI10+BI11+BI13+BI14+BI16)*(MAX(0,MIN(Supuestos!$C$37,1)-MAX(0,Supuestos!$C$37-1)))+(BH10+BH11+BH13+BH14+BH16)*(MAX(0,MIN(Supuestos!$C$37-1,1)))</f>
        <v>12342103300.4438</v>
      </c>
      <c r="BK21" s="57" t="n">
        <f aca="false">(BK10+BK11+BK13+BK14+BK16)*(MAX(0,1-Supuestos!$C$37))+(BJ10+BJ11+BJ13+BJ14+BJ16)*(MAX(0,MIN(Supuestos!$C$37,1)-MAX(0,Supuestos!$C$37-1)))+(BI10+BI11+BI13+BI14+BI16)*(MAX(0,MIN(Supuestos!$C$37-1,1)))</f>
        <v>11701282339.2984</v>
      </c>
      <c r="BL21" s="57" t="n">
        <f aca="false">(BL10+BL11+BL13+BL14+BL16)*(MAX(0,1-Supuestos!$C$37))+(BK10+BK11+BK13+BK14+BK16)*(MAX(0,MIN(Supuestos!$C$37,1)-MAX(0,Supuestos!$C$37-1)))+(BJ10+BJ11+BJ13+BJ14+BJ16)*(MAX(0,MIN(Supuestos!$C$37-1,1)))</f>
        <v>11612897037.5616</v>
      </c>
      <c r="BM21" s="57" t="n">
        <f aca="false">(BM10+BM11+BM13+BM14+BM16)*(MAX(0,1-Supuestos!$C$37))+(BL10+BL11+BL13+BL14+BL16)*(MAX(0,MIN(Supuestos!$C$37,1)-MAX(0,Supuestos!$C$37-1)))+(BK10+BK11+BK13+BK14+BK16)*(MAX(0,MIN(Supuestos!$C$37-1,1)))</f>
        <v>11900158442.7241</v>
      </c>
      <c r="BN21" s="57" t="n">
        <f aca="false">(BN10+BN11+BN13+BN14+BN16)*(MAX(0,1-Supuestos!$C$37))+(BM10+BM11+BM13+BM14+BM16)*(MAX(0,MIN(Supuestos!$C$37,1)-MAX(0,Supuestos!$C$37-1)))+(BL10+BL11+BL13+BL14+BL16)*(MAX(0,MIN(Supuestos!$C$37-1,1)))</f>
        <v>12297910649.5755</v>
      </c>
      <c r="BO21" s="57" t="n">
        <f aca="false">(BO10+BO11+BO13+BO14+BO16)*(MAX(0,1-Supuestos!$C$37))+(BN10+BN11+BN13+BN14+BN16)*(MAX(0,MIN(Supuestos!$C$37,1)-MAX(0,Supuestos!$C$37-1)))+(BM10+BM11+BM13+BM14+BM16)*(MAX(0,MIN(Supuestos!$C$37-1,1)))</f>
        <v>12297910649.5755</v>
      </c>
      <c r="BP21" s="57" t="n">
        <f aca="false">(BP10+BP11+BP13+BP14+BP16)*(MAX(0,1-Supuestos!$C$37))+(BO10+BO11+BO13+BO14+BO16)*(MAX(0,MIN(Supuestos!$C$37,1)-MAX(0,Supuestos!$C$37-1)))+(BN10+BN11+BN13+BN14+BN16)*(MAX(0,MIN(Supuestos!$C$37-1,1)))</f>
        <v>12297910649.5755</v>
      </c>
      <c r="BQ21" s="57" t="n">
        <f aca="false">(BQ10+BQ11+BQ13+BQ14+BQ16)*(MAX(0,1-Supuestos!$C$37))+(BP10+BP11+BP13+BP14+BP16)*(MAX(0,MIN(Supuestos!$C$37,1)-MAX(0,Supuestos!$C$37-1)))+(BO10+BO11+BO13+BO14+BO16)*(MAX(0,MIN(Supuestos!$C$37-1,1)))</f>
        <v>12297910649.5755</v>
      </c>
      <c r="BR21" s="57" t="n">
        <f aca="false">(BR10+BR11+BR13+BR14+BR16)*(MAX(0,1-Supuestos!$C$37))+(BQ10+BQ11+BQ13+BQ14+BQ16)*(MAX(0,MIN(Supuestos!$C$37,1)-MAX(0,Supuestos!$C$37-1)))+(BP10+BP11+BP13+BP14+BP16)*(MAX(0,MIN(Supuestos!$C$37-1,1)))</f>
        <v>12297910649.5755</v>
      </c>
      <c r="BS21" s="57" t="n">
        <f aca="false">(BS10+BS11+BS13+BS14+BS16)*(MAX(0,1-Supuestos!$C$37))+(BR10+BR11+BR13+BR14+BR16)*(MAX(0,MIN(Supuestos!$C$37,1)-MAX(0,Supuestos!$C$37-1)))+(BQ10+BQ11+BQ13+BQ14+BQ16)*(MAX(0,MIN(Supuestos!$C$37-1,1)))</f>
        <v>12297910649.5755</v>
      </c>
      <c r="BT21" s="57" t="n">
        <f aca="false">(BT10+BT11+BT13+BT14+BT16)*(MAX(0,1-Supuestos!$C$37))+(BS10+BS11+BS13+BS14+BS16)*(MAX(0,MIN(Supuestos!$C$37,1)-MAX(0,Supuestos!$C$37-1)))+(BR10+BR11+BR13+BR14+BR16)*(MAX(0,MIN(Supuestos!$C$37-1,1)))</f>
        <v>12297910649.5755</v>
      </c>
      <c r="BU21" s="57" t="n">
        <f aca="false">(BU10+BU11+BU13+BU14+BU16)*(MAX(0,1-Supuestos!$C$37))+(BT10+BT11+BT13+BT14+BT16)*(MAX(0,MIN(Supuestos!$C$37,1)-MAX(0,Supuestos!$C$37-1)))+(BS10+BS11+BS13+BS14+BS16)*(MAX(0,MIN(Supuestos!$C$37-1,1)))</f>
        <v>12342103300.4438</v>
      </c>
      <c r="BV21" s="57" t="n">
        <f aca="false">(BV10+BV11+BV13+BV14+BV16)*(MAX(0,1-Supuestos!$C$37))+(BU10+BU11+BU13+BU14+BU16)*(MAX(0,MIN(Supuestos!$C$37,1)-MAX(0,Supuestos!$C$37-1)))+(BT10+BT11+BT13+BT14+BT16)*(MAX(0,MIN(Supuestos!$C$37-1,1)))</f>
        <v>12342103300.4438</v>
      </c>
      <c r="BW21" s="57" t="n">
        <f aca="false">(BW10+BW11+BW13+BW14+BW16)*(MAX(0,1-Supuestos!$C$37))+(BV10+BV11+BV13+BV14+BV16)*(MAX(0,MIN(Supuestos!$C$37,1)-MAX(0,Supuestos!$C$37-1)))+(BU10+BU11+BU13+BU14+BU16)*(MAX(0,MIN(Supuestos!$C$37-1,1)))</f>
        <v>11701282339.2984</v>
      </c>
      <c r="BX21" s="57" t="n">
        <f aca="false">(BX10+BX11+BX13+BX14+BX16)*(MAX(0,1-Supuestos!$C$37))+(BW10+BW11+BW13+BW14+BW16)*(MAX(0,MIN(Supuestos!$C$37,1)-MAX(0,Supuestos!$C$37-1)))+(BV10+BV11+BV13+BV14+BV16)*(MAX(0,MIN(Supuestos!$C$37-1,1)))</f>
        <v>11612897037.5616</v>
      </c>
      <c r="BY21" s="57" t="n">
        <f aca="false">(BY10+BY11+BY13+BY14+BY16)*(MAX(0,1-Supuestos!$C$37))+(BX10+BX11+BX13+BX14+BX16)*(MAX(0,MIN(Supuestos!$C$37,1)-MAX(0,Supuestos!$C$37-1)))+(BW10+BW11+BW13+BW14+BW16)*(MAX(0,MIN(Supuestos!$C$37-1,1)))</f>
        <v>11900158442.7241</v>
      </c>
      <c r="BZ21" s="57" t="n">
        <f aca="false">(BZ10+BZ11+BZ13+BZ14+BZ16)*(MAX(0,1-Supuestos!$C$37))+(BY10+BY11+BY13+BY14+BY16)*(MAX(0,MIN(Supuestos!$C$37,1)-MAX(0,Supuestos!$C$37-1)))+(BX10+BX11+BX13+BX14+BX16)*(MAX(0,MIN(Supuestos!$C$37-1,1)))</f>
        <v>12297910649.5755</v>
      </c>
      <c r="CA21" s="57" t="n">
        <f aca="false">(CA10+CA11+CA13+CA14+CA16)*(MAX(0,1-Supuestos!$C$37))+(BZ10+BZ11+BZ13+BZ14+BZ16)*(MAX(0,MIN(Supuestos!$C$37,1)-MAX(0,Supuestos!$C$37-1)))+(BY10+BY11+BY13+BY14+BY16)*(MAX(0,MIN(Supuestos!$C$37-1,1)))</f>
        <v>12297910649.5755</v>
      </c>
      <c r="CB21" s="57" t="n">
        <f aca="false">(CB10+CB11+CB13+CB14+CB16)*(MAX(0,1-Supuestos!$C$37))+(CA10+CA11+CA13+CA14+CA16)*(MAX(0,MIN(Supuestos!$C$37,1)-MAX(0,Supuestos!$C$37-1)))+(BZ10+BZ11+BZ13+BZ14+BZ16)*(MAX(0,MIN(Supuestos!$C$37-1,1)))</f>
        <v>12297910649.5755</v>
      </c>
      <c r="CC21" s="57" t="n">
        <f aca="false">(CC10+CC11+CC13+CC14+CC16)*(MAX(0,1-Supuestos!$C$37))+(CB10+CB11+CB13+CB14+CB16)*(MAX(0,MIN(Supuestos!$C$37,1)-MAX(0,Supuestos!$C$37-1)))+(CA10+CA11+CA13+CA14+CA16)*(MAX(0,MIN(Supuestos!$C$37-1,1)))</f>
        <v>12297910649.5755</v>
      </c>
      <c r="CD21" s="57" t="n">
        <f aca="false">(CD10+CD11+CD13+CD14+CD16)*(MAX(0,1-Supuestos!$C$37))+(CC10+CC11+CC13+CC14+CC16)*(MAX(0,MIN(Supuestos!$C$37,1)-MAX(0,Supuestos!$C$37-1)))+(CB10+CB11+CB13+CB14+CB16)*(MAX(0,MIN(Supuestos!$C$37-1,1)))</f>
        <v>12297910649.5755</v>
      </c>
      <c r="CE21" s="57" t="n">
        <f aca="false">(CE10+CE11+CE13+CE14+CE16)*(MAX(0,1-Supuestos!$C$37))+(CD10+CD11+CD13+CD14+CD16)*(MAX(0,MIN(Supuestos!$C$37,1)-MAX(0,Supuestos!$C$37-1)))+(CC10+CC11+CC13+CC14+CC16)*(MAX(0,MIN(Supuestos!$C$37-1,1)))</f>
        <v>12297910649.5755</v>
      </c>
      <c r="CF21" s="57" t="n">
        <f aca="false">(CF10+CF11+CF13+CF14+CF16)*(MAX(0,1-Supuestos!$C$37))+(CE10+CE11+CE13+CE14+CE16)*(MAX(0,MIN(Supuestos!$C$37,1)-MAX(0,Supuestos!$C$37-1)))+(CD10+CD11+CD13+CD14+CD16)*(MAX(0,MIN(Supuestos!$C$37-1,1)))</f>
        <v>12297910649.5755</v>
      </c>
      <c r="CG21" s="57" t="n">
        <f aca="false">(CG10+CG11+CG13+CG14+CG16)*(MAX(0,1-Supuestos!$C$37))+(CF10+CF11+CF13+CF14+CF16)*(MAX(0,MIN(Supuestos!$C$37,1)-MAX(0,Supuestos!$C$37-1)))+(CE10+CE11+CE13+CE14+CE16)*(MAX(0,MIN(Supuestos!$C$37-1,1)))</f>
        <v>12342103300.4438</v>
      </c>
      <c r="CH21" s="57" t="n">
        <f aca="false">(CH10+CH11+CH13+CH14+CH16)*(MAX(0,1-Supuestos!$C$37))+(CG10+CG11+CG13+CG14+CG16)*(MAX(0,MIN(Supuestos!$C$37,1)-MAX(0,Supuestos!$C$37-1)))+(CF10+CF11+CF13+CF14+CF16)*(MAX(0,MIN(Supuestos!$C$37-1,1)))</f>
        <v>12342103300.4438</v>
      </c>
      <c r="CI21" s="57" t="n">
        <f aca="false">(CI10+CI11+CI13+CI14+CI16)*(MAX(0,1-Supuestos!$C$37))+(CH10+CH11+CH13+CH14+CH16)*(MAX(0,MIN(Supuestos!$C$37,1)-MAX(0,Supuestos!$C$37-1)))+(CG10+CG11+CG13+CG14+CG16)*(MAX(0,MIN(Supuestos!$C$37-1,1)))</f>
        <v>11701282339.2984</v>
      </c>
      <c r="CJ21" s="57" t="n">
        <f aca="false">(CJ10+CJ11+CJ13+CJ14+CJ16)*(MAX(0,1-Supuestos!$C$37))+(CI10+CI11+CI13+CI14+CI16)*(MAX(0,MIN(Supuestos!$C$37,1)-MAX(0,Supuestos!$C$37-1)))+(CH10+CH11+CH13+CH14+CH16)*(MAX(0,MIN(Supuestos!$C$37-1,1)))</f>
        <v>11612897037.5616</v>
      </c>
      <c r="CK21" s="57" t="n">
        <f aca="false">(CK10+CK11+CK13+CK14+CK16)*(MAX(0,1-Supuestos!$C$37))+(CJ10+CJ11+CJ13+CJ14+CJ16)*(MAX(0,MIN(Supuestos!$C$37,1)-MAX(0,Supuestos!$C$37-1)))+(CI10+CI11+CI13+CI14+CI16)*(MAX(0,MIN(Supuestos!$C$37-1,1)))</f>
        <v>11900158442.7241</v>
      </c>
      <c r="CL21" s="57" t="n">
        <f aca="false">(CL10+CL11+CL13+CL14+CL16)*(MAX(0,1-Supuestos!$C$37))+(CK10+CK11+CK13+CK14+CK16)*(MAX(0,MIN(Supuestos!$C$37,1)-MAX(0,Supuestos!$C$37-1)))+(CJ10+CJ11+CJ13+CJ14+CJ16)*(MAX(0,MIN(Supuestos!$C$37-1,1)))</f>
        <v>12297910649.5755</v>
      </c>
      <c r="CM21" s="57" t="n">
        <f aca="false">(CM10+CM11+CM13+CM14+CM16)*(MAX(0,1-Supuestos!$C$37))+(CL10+CL11+CL13+CL14+CL16)*(MAX(0,MIN(Supuestos!$C$37,1)-MAX(0,Supuestos!$C$37-1)))+(CK10+CK11+CK13+CK14+CK16)*(MAX(0,MIN(Supuestos!$C$37-1,1)))</f>
        <v>12297910649.5755</v>
      </c>
      <c r="CN21" s="57" t="n">
        <f aca="false">(CN10+CN11+CN13+CN14+CN16)*(MAX(0,1-Supuestos!$C$37))+(CM10+CM11+CM13+CM14+CM16)*(MAX(0,MIN(Supuestos!$C$37,1)-MAX(0,Supuestos!$C$37-1)))+(CL10+CL11+CL13+CL14+CL16)*(MAX(0,MIN(Supuestos!$C$37-1,1)))</f>
        <v>12297910649.5755</v>
      </c>
      <c r="CO21" s="57" t="n">
        <f aca="false">(CO10+CO11+CO13+CO14+CO16)*(MAX(0,1-Supuestos!$C$37))+(CN10+CN11+CN13+CN14+CN16)*(MAX(0,MIN(Supuestos!$C$37,1)-MAX(0,Supuestos!$C$37-1)))+(CM10+CM11+CM13+CM14+CM16)*(MAX(0,MIN(Supuestos!$C$37-1,1)))</f>
        <v>12297910649.5755</v>
      </c>
      <c r="CP21" s="57" t="n">
        <f aca="false">(CP10+CP11+CP13+CP14+CP16)*(MAX(0,1-Supuestos!$C$37))+(CO10+CO11+CO13+CO14+CO16)*(MAX(0,MIN(Supuestos!$C$37,1)-MAX(0,Supuestos!$C$37-1)))+(CN10+CN11+CN13+CN14+CN16)*(MAX(0,MIN(Supuestos!$C$37-1,1)))</f>
        <v>12297910649.5755</v>
      </c>
      <c r="CQ21" s="57" t="n">
        <f aca="false">(CQ10+CQ11+CQ13+CQ14+CQ16)*(MAX(0,1-Supuestos!$C$37))+(CP10+CP11+CP13+CP14+CP16)*(MAX(0,MIN(Supuestos!$C$37,1)-MAX(0,Supuestos!$C$37-1)))+(CO10+CO11+CO13+CO14+CO16)*(MAX(0,MIN(Supuestos!$C$37-1,1)))</f>
        <v>12297910649.5755</v>
      </c>
      <c r="CR21" s="57" t="n">
        <f aca="false">(CR10+CR11+CR13+CR14+CR16)*(MAX(0,1-Supuestos!$C$37))+(CQ10+CQ11+CQ13+CQ14+CQ16)*(MAX(0,MIN(Supuestos!$C$37,1)-MAX(0,Supuestos!$C$37-1)))+(CP10+CP11+CP13+CP14+CP16)*(MAX(0,MIN(Supuestos!$C$37-1,1)))</f>
        <v>12297910649.5755</v>
      </c>
      <c r="CS21" s="57" t="n">
        <f aca="false">(CS10+CS11+CS13+CS14+CS16)*(MAX(0,1-Supuestos!$C$37))+(CR10+CR11+CR13+CR14+CR16)*(MAX(0,MIN(Supuestos!$C$37,1)-MAX(0,Supuestos!$C$37-1)))+(CQ10+CQ11+CQ13+CQ14+CQ16)*(MAX(0,MIN(Supuestos!$C$37-1,1)))</f>
        <v>12342103300.4438</v>
      </c>
      <c r="CT21" s="57" t="n">
        <f aca="false">(CT10+CT11+CT13+CT14+CT16)*(MAX(0,1-Supuestos!$C$37))+(CS10+CS11+CS13+CS14+CS16)*(MAX(0,MIN(Supuestos!$C$37,1)-MAX(0,Supuestos!$C$37-1)))+(CR10+CR11+CR13+CR14+CR16)*(MAX(0,MIN(Supuestos!$C$37-1,1)))</f>
        <v>12342103300.4438</v>
      </c>
    </row>
    <row r="22" customFormat="false" ht="15" hidden="false" customHeight="true" outlineLevel="0" collapsed="false">
      <c r="B22" s="19" t="s">
        <v>580</v>
      </c>
      <c r="C22" s="57" t="n">
        <f aca="false">C12</f>
        <v>1734471280.5078</v>
      </c>
      <c r="D22" s="57" t="n">
        <f aca="false">D12</f>
        <v>2312628374.0104</v>
      </c>
      <c r="E22" s="57" t="n">
        <f aca="false">E12*(MAX(0,1-Supuestos!$C$38))+D12*(MAX(0,MIN(Supuestos!$C$38,1)-MAX(0,Supuestos!$C$38-1)))+C12*(MAX(0,MIN(Supuestos!$C$38-1,1)))</f>
        <v>2023549827.2591</v>
      </c>
      <c r="F22" s="57" t="n">
        <f aca="false">F12*(MAX(0,1-Supuestos!$C$38))+E12*(MAX(0,MIN(Supuestos!$C$38,1)-MAX(0,Supuestos!$C$38-1)))+D12*(MAX(0,MIN(Supuestos!$C$38-1,1)))</f>
        <v>3468942561.0156</v>
      </c>
      <c r="G22" s="57" t="n">
        <f aca="false">G12*(MAX(0,1-Supuestos!$C$38))+F12*(MAX(0,MIN(Supuestos!$C$38,1)-MAX(0,Supuestos!$C$38-1)))+E12*(MAX(0,MIN(Supuestos!$C$38-1,1)))</f>
        <v>4914335294.7721</v>
      </c>
      <c r="H22" s="57" t="n">
        <f aca="false">H12*(MAX(0,1-Supuestos!$C$38))+G12*(MAX(0,MIN(Supuestos!$C$38,1)-MAX(0,Supuestos!$C$38-1)))+F12*(MAX(0,MIN(Supuestos!$C$38-1,1)))</f>
        <v>5492492388.2747</v>
      </c>
      <c r="I22" s="57" t="n">
        <f aca="false">I12*(MAX(0,1-Supuestos!$C$38))+H12*(MAX(0,MIN(Supuestos!$C$38,1)-MAX(0,Supuestos!$C$38-1)))+G12*(MAX(0,MIN(Supuestos!$C$38-1,1)))</f>
        <v>5781570935.026</v>
      </c>
      <c r="J22" s="57" t="n">
        <f aca="false">J12*(MAX(0,1-Supuestos!$C$38))+I12*(MAX(0,MIN(Supuestos!$C$38,1)-MAX(0,Supuestos!$C$38-1)))+H12*(MAX(0,MIN(Supuestos!$C$38-1,1)))</f>
        <v>5781570935.026</v>
      </c>
      <c r="K22" s="57" t="n">
        <f aca="false">K12*(MAX(0,1-Supuestos!$C$38))+J12*(MAX(0,MIN(Supuestos!$C$38,1)-MAX(0,Supuestos!$C$38-1)))+I12*(MAX(0,MIN(Supuestos!$C$38-1,1)))</f>
        <v>5781570935.026</v>
      </c>
      <c r="L22" s="57" t="n">
        <f aca="false">L12*(MAX(0,1-Supuestos!$C$38))+K12*(MAX(0,MIN(Supuestos!$C$38,1)-MAX(0,Supuestos!$C$38-1)))+J12*(MAX(0,MIN(Supuestos!$C$38-1,1)))</f>
        <v>5781570935.026</v>
      </c>
      <c r="M22" s="57" t="n">
        <f aca="false">M12*(MAX(0,1-Supuestos!$C$38))+L12*(MAX(0,MIN(Supuestos!$C$38,1)-MAX(0,Supuestos!$C$38-1)))+K12*(MAX(0,MIN(Supuestos!$C$38-1,1)))</f>
        <v>5781570935.026</v>
      </c>
      <c r="N22" s="57" t="n">
        <f aca="false">N12*(MAX(0,1-Supuestos!$C$38))+M12*(MAX(0,MIN(Supuestos!$C$38,1)-MAX(0,Supuestos!$C$38-1)))+L12*(MAX(0,MIN(Supuestos!$C$38-1,1)))</f>
        <v>5492492388.2747</v>
      </c>
      <c r="O22" s="57" t="n">
        <f aca="false">O12*(MAX(0,1-Supuestos!$C$38))+N12*(MAX(0,MIN(Supuestos!$C$38,1)-MAX(0,Supuestos!$C$38-1)))+M12*(MAX(0,MIN(Supuestos!$C$38-1,1)))</f>
        <v>4625256748.0208</v>
      </c>
      <c r="P22" s="57" t="n">
        <f aca="false">P12*(MAX(0,1-Supuestos!$C$38))+O12*(MAX(0,MIN(Supuestos!$C$38,1)-MAX(0,Supuestos!$C$38-1)))+N12*(MAX(0,MIN(Supuestos!$C$38-1,1)))</f>
        <v>2890785467.513</v>
      </c>
      <c r="Q22" s="57" t="n">
        <f aca="false">Q12*(MAX(0,1-Supuestos!$C$38))+P12*(MAX(0,MIN(Supuestos!$C$38,1)-MAX(0,Supuestos!$C$38-1)))+O12*(MAX(0,MIN(Supuestos!$C$38-1,1)))</f>
        <v>2023549827.2591</v>
      </c>
      <c r="R22" s="57" t="n">
        <f aca="false">R12*(MAX(0,1-Supuestos!$C$38))+Q12*(MAX(0,MIN(Supuestos!$C$38,1)-MAX(0,Supuestos!$C$38-1)))+P12*(MAX(0,MIN(Supuestos!$C$38-1,1)))</f>
        <v>3468942561.0156</v>
      </c>
      <c r="S22" s="57" t="n">
        <f aca="false">S12*(MAX(0,1-Supuestos!$C$38))+R12*(MAX(0,MIN(Supuestos!$C$38,1)-MAX(0,Supuestos!$C$38-1)))+Q12*(MAX(0,MIN(Supuestos!$C$38-1,1)))</f>
        <v>4914335294.7721</v>
      </c>
      <c r="T22" s="57" t="n">
        <f aca="false">T12*(MAX(0,1-Supuestos!$C$38))+S12*(MAX(0,MIN(Supuestos!$C$38,1)-MAX(0,Supuestos!$C$38-1)))+R12*(MAX(0,MIN(Supuestos!$C$38-1,1)))</f>
        <v>5492492388.2747</v>
      </c>
      <c r="U22" s="57" t="n">
        <f aca="false">U12*(MAX(0,1-Supuestos!$C$38))+T12*(MAX(0,MIN(Supuestos!$C$38,1)-MAX(0,Supuestos!$C$38-1)))+S12*(MAX(0,MIN(Supuestos!$C$38-1,1)))</f>
        <v>5781570935.026</v>
      </c>
      <c r="V22" s="57" t="n">
        <f aca="false">V12*(MAX(0,1-Supuestos!$C$38))+U12*(MAX(0,MIN(Supuestos!$C$38,1)-MAX(0,Supuestos!$C$38-1)))+T12*(MAX(0,MIN(Supuestos!$C$38-1,1)))</f>
        <v>5781570935.026</v>
      </c>
      <c r="W22" s="57" t="n">
        <f aca="false">W12*(MAX(0,1-Supuestos!$C$38))+V12*(MAX(0,MIN(Supuestos!$C$38,1)-MAX(0,Supuestos!$C$38-1)))+U12*(MAX(0,MIN(Supuestos!$C$38-1,1)))</f>
        <v>5781570935.026</v>
      </c>
      <c r="X22" s="57" t="n">
        <f aca="false">X12*(MAX(0,1-Supuestos!$C$38))+W12*(MAX(0,MIN(Supuestos!$C$38,1)-MAX(0,Supuestos!$C$38-1)))+V12*(MAX(0,MIN(Supuestos!$C$38-1,1)))</f>
        <v>5781570935.026</v>
      </c>
      <c r="Y22" s="57" t="n">
        <f aca="false">Y12*(MAX(0,1-Supuestos!$C$38))+X12*(MAX(0,MIN(Supuestos!$C$38,1)-MAX(0,Supuestos!$C$38-1)))+W12*(MAX(0,MIN(Supuestos!$C$38-1,1)))</f>
        <v>5781570935.026</v>
      </c>
      <c r="Z22" s="57" t="n">
        <f aca="false">Z12*(MAX(0,1-Supuestos!$C$38))+Y12*(MAX(0,MIN(Supuestos!$C$38,1)-MAX(0,Supuestos!$C$38-1)))+X12*(MAX(0,MIN(Supuestos!$C$38-1,1)))</f>
        <v>5492492388.2747</v>
      </c>
      <c r="AA22" s="57" t="n">
        <f aca="false">AA12*(MAX(0,1-Supuestos!$C$38))+Z12*(MAX(0,MIN(Supuestos!$C$38,1)-MAX(0,Supuestos!$C$38-1)))+Y12*(MAX(0,MIN(Supuestos!$C$38-1,1)))</f>
        <v>4625256748.0208</v>
      </c>
      <c r="AB22" s="57" t="n">
        <f aca="false">AB12*(MAX(0,1-Supuestos!$C$38))+AA12*(MAX(0,MIN(Supuestos!$C$38,1)-MAX(0,Supuestos!$C$38-1)))+Z12*(MAX(0,MIN(Supuestos!$C$38-1,1)))</f>
        <v>2890785467.513</v>
      </c>
      <c r="AC22" s="57" t="n">
        <f aca="false">AC12*(MAX(0,1-Supuestos!$C$38))+AB12*(MAX(0,MIN(Supuestos!$C$38,1)-MAX(0,Supuestos!$C$38-1)))+AA12*(MAX(0,MIN(Supuestos!$C$38-1,1)))</f>
        <v>2023549827.2591</v>
      </c>
      <c r="AD22" s="57" t="n">
        <f aca="false">AD12*(MAX(0,1-Supuestos!$C$38))+AC12*(MAX(0,MIN(Supuestos!$C$38,1)-MAX(0,Supuestos!$C$38-1)))+AB12*(MAX(0,MIN(Supuestos!$C$38-1,1)))</f>
        <v>3468942561.0156</v>
      </c>
      <c r="AE22" s="57" t="n">
        <f aca="false">AE12*(MAX(0,1-Supuestos!$C$38))+AD12*(MAX(0,MIN(Supuestos!$C$38,1)-MAX(0,Supuestos!$C$38-1)))+AC12*(MAX(0,MIN(Supuestos!$C$38-1,1)))</f>
        <v>4914335294.7721</v>
      </c>
      <c r="AF22" s="57" t="n">
        <f aca="false">AF12*(MAX(0,1-Supuestos!$C$38))+AE12*(MAX(0,MIN(Supuestos!$C$38,1)-MAX(0,Supuestos!$C$38-1)))+AD12*(MAX(0,MIN(Supuestos!$C$38-1,1)))</f>
        <v>5492492388.2747</v>
      </c>
      <c r="AG22" s="57" t="n">
        <f aca="false">AG12*(MAX(0,1-Supuestos!$C$38))+AF12*(MAX(0,MIN(Supuestos!$C$38,1)-MAX(0,Supuestos!$C$38-1)))+AE12*(MAX(0,MIN(Supuestos!$C$38-1,1)))</f>
        <v>5781570935.026</v>
      </c>
      <c r="AH22" s="57" t="n">
        <f aca="false">AH12*(MAX(0,1-Supuestos!$C$38))+AG12*(MAX(0,MIN(Supuestos!$C$38,1)-MAX(0,Supuestos!$C$38-1)))+AF12*(MAX(0,MIN(Supuestos!$C$38-1,1)))</f>
        <v>5781570935.026</v>
      </c>
      <c r="AI22" s="57" t="n">
        <f aca="false">AI12*(MAX(0,1-Supuestos!$C$38))+AH12*(MAX(0,MIN(Supuestos!$C$38,1)-MAX(0,Supuestos!$C$38-1)))+AG12*(MAX(0,MIN(Supuestos!$C$38-1,1)))</f>
        <v>5781570935.026</v>
      </c>
      <c r="AJ22" s="57" t="n">
        <f aca="false">AJ12*(MAX(0,1-Supuestos!$C$38))+AI12*(MAX(0,MIN(Supuestos!$C$38,1)-MAX(0,Supuestos!$C$38-1)))+AH12*(MAX(0,MIN(Supuestos!$C$38-1,1)))</f>
        <v>5781570935.026</v>
      </c>
      <c r="AK22" s="57" t="n">
        <f aca="false">AK12*(MAX(0,1-Supuestos!$C$38))+AJ12*(MAX(0,MIN(Supuestos!$C$38,1)-MAX(0,Supuestos!$C$38-1)))+AI12*(MAX(0,MIN(Supuestos!$C$38-1,1)))</f>
        <v>5781570935.026</v>
      </c>
      <c r="AL22" s="57" t="n">
        <f aca="false">AL12*(MAX(0,1-Supuestos!$C$38))+AK12*(MAX(0,MIN(Supuestos!$C$38,1)-MAX(0,Supuestos!$C$38-1)))+AJ12*(MAX(0,MIN(Supuestos!$C$38-1,1)))</f>
        <v>5492492388.2747</v>
      </c>
      <c r="AM22" s="57" t="n">
        <f aca="false">AM12*(MAX(0,1-Supuestos!$C$38))+AL12*(MAX(0,MIN(Supuestos!$C$38,1)-MAX(0,Supuestos!$C$38-1)))+AK12*(MAX(0,MIN(Supuestos!$C$38-1,1)))</f>
        <v>4625256748.0208</v>
      </c>
      <c r="AN22" s="57" t="n">
        <f aca="false">AN12*(MAX(0,1-Supuestos!$C$38))+AM12*(MAX(0,MIN(Supuestos!$C$38,1)-MAX(0,Supuestos!$C$38-1)))+AL12*(MAX(0,MIN(Supuestos!$C$38-1,1)))</f>
        <v>2890785467.513</v>
      </c>
      <c r="AO22" s="57" t="n">
        <f aca="false">AO12*(MAX(0,1-Supuestos!$C$38))+AN12*(MAX(0,MIN(Supuestos!$C$38,1)-MAX(0,Supuestos!$C$38-1)))+AM12*(MAX(0,MIN(Supuestos!$C$38-1,1)))</f>
        <v>2023549827.2591</v>
      </c>
      <c r="AP22" s="57" t="n">
        <f aca="false">AP12*(MAX(0,1-Supuestos!$C$38))+AO12*(MAX(0,MIN(Supuestos!$C$38,1)-MAX(0,Supuestos!$C$38-1)))+AN12*(MAX(0,MIN(Supuestos!$C$38-1,1)))</f>
        <v>3468942561.0156</v>
      </c>
      <c r="AQ22" s="57" t="n">
        <f aca="false">AQ12*(MAX(0,1-Supuestos!$C$38))+AP12*(MAX(0,MIN(Supuestos!$C$38,1)-MAX(0,Supuestos!$C$38-1)))+AO12*(MAX(0,MIN(Supuestos!$C$38-1,1)))</f>
        <v>4914335294.7721</v>
      </c>
      <c r="AR22" s="57" t="n">
        <f aca="false">AR12*(MAX(0,1-Supuestos!$C$38))+AQ12*(MAX(0,MIN(Supuestos!$C$38,1)-MAX(0,Supuestos!$C$38-1)))+AP12*(MAX(0,MIN(Supuestos!$C$38-1,1)))</f>
        <v>5492492388.2747</v>
      </c>
      <c r="AS22" s="57" t="n">
        <f aca="false">AS12*(MAX(0,1-Supuestos!$C$38))+AR12*(MAX(0,MIN(Supuestos!$C$38,1)-MAX(0,Supuestos!$C$38-1)))+AQ12*(MAX(0,MIN(Supuestos!$C$38-1,1)))</f>
        <v>5781570935.026</v>
      </c>
      <c r="AT22" s="57" t="n">
        <f aca="false">AT12*(MAX(0,1-Supuestos!$C$38))+AS12*(MAX(0,MIN(Supuestos!$C$38,1)-MAX(0,Supuestos!$C$38-1)))+AR12*(MAX(0,MIN(Supuestos!$C$38-1,1)))</f>
        <v>5781570935.026</v>
      </c>
      <c r="AU22" s="57" t="n">
        <f aca="false">AU12*(MAX(0,1-Supuestos!$C$38))+AT12*(MAX(0,MIN(Supuestos!$C$38,1)-MAX(0,Supuestos!$C$38-1)))+AS12*(MAX(0,MIN(Supuestos!$C$38-1,1)))</f>
        <v>5781570935.026</v>
      </c>
      <c r="AV22" s="57" t="n">
        <f aca="false">AV12*(MAX(0,1-Supuestos!$C$38))+AU12*(MAX(0,MIN(Supuestos!$C$38,1)-MAX(0,Supuestos!$C$38-1)))+AT12*(MAX(0,MIN(Supuestos!$C$38-1,1)))</f>
        <v>5781570935.026</v>
      </c>
      <c r="AW22" s="57" t="n">
        <f aca="false">AW12*(MAX(0,1-Supuestos!$C$38))+AV12*(MAX(0,MIN(Supuestos!$C$38,1)-MAX(0,Supuestos!$C$38-1)))+AU12*(MAX(0,MIN(Supuestos!$C$38-1,1)))</f>
        <v>5781570935.026</v>
      </c>
      <c r="AX22" s="57" t="n">
        <f aca="false">AX12*(MAX(0,1-Supuestos!$C$38))+AW12*(MAX(0,MIN(Supuestos!$C$38,1)-MAX(0,Supuestos!$C$38-1)))+AV12*(MAX(0,MIN(Supuestos!$C$38-1,1)))</f>
        <v>5492492388.2747</v>
      </c>
      <c r="AY22" s="57" t="n">
        <f aca="false">AY12*(MAX(0,1-Supuestos!$C$38))+AX12*(MAX(0,MIN(Supuestos!$C$38,1)-MAX(0,Supuestos!$C$38-1)))+AW12*(MAX(0,MIN(Supuestos!$C$38-1,1)))</f>
        <v>4625256748.0208</v>
      </c>
      <c r="AZ22" s="57" t="n">
        <f aca="false">AZ12*(MAX(0,1-Supuestos!$C$38))+AY12*(MAX(0,MIN(Supuestos!$C$38,1)-MAX(0,Supuestos!$C$38-1)))+AX12*(MAX(0,MIN(Supuestos!$C$38-1,1)))</f>
        <v>2890785467.513</v>
      </c>
      <c r="BA22" s="57" t="n">
        <f aca="false">BA12*(MAX(0,1-Supuestos!$C$38))+AZ12*(MAX(0,MIN(Supuestos!$C$38,1)-MAX(0,Supuestos!$C$38-1)))+AY12*(MAX(0,MIN(Supuestos!$C$38-1,1)))</f>
        <v>2023549827.2591</v>
      </c>
      <c r="BB22" s="57" t="n">
        <f aca="false">BB12*(MAX(0,1-Supuestos!$C$38))+BA12*(MAX(0,MIN(Supuestos!$C$38,1)-MAX(0,Supuestos!$C$38-1)))+AZ12*(MAX(0,MIN(Supuestos!$C$38-1,1)))</f>
        <v>3468942561.0156</v>
      </c>
      <c r="BC22" s="57" t="n">
        <f aca="false">BC12*(MAX(0,1-Supuestos!$C$38))+BB12*(MAX(0,MIN(Supuestos!$C$38,1)-MAX(0,Supuestos!$C$38-1)))+BA12*(MAX(0,MIN(Supuestos!$C$38-1,1)))</f>
        <v>4914335294.7721</v>
      </c>
      <c r="BD22" s="57" t="n">
        <f aca="false">BD12*(MAX(0,1-Supuestos!$C$38))+BC12*(MAX(0,MIN(Supuestos!$C$38,1)-MAX(0,Supuestos!$C$38-1)))+BB12*(MAX(0,MIN(Supuestos!$C$38-1,1)))</f>
        <v>5492492388.2747</v>
      </c>
      <c r="BE22" s="57" t="n">
        <f aca="false">BE12*(MAX(0,1-Supuestos!$C$38))+BD12*(MAX(0,MIN(Supuestos!$C$38,1)-MAX(0,Supuestos!$C$38-1)))+BC12*(MAX(0,MIN(Supuestos!$C$38-1,1)))</f>
        <v>5781570935.026</v>
      </c>
      <c r="BF22" s="57" t="n">
        <f aca="false">BF12*(MAX(0,1-Supuestos!$C$38))+BE12*(MAX(0,MIN(Supuestos!$C$38,1)-MAX(0,Supuestos!$C$38-1)))+BD12*(MAX(0,MIN(Supuestos!$C$38-1,1)))</f>
        <v>5781570935.026</v>
      </c>
      <c r="BG22" s="57" t="n">
        <f aca="false">BG12*(MAX(0,1-Supuestos!$C$38))+BF12*(MAX(0,MIN(Supuestos!$C$38,1)-MAX(0,Supuestos!$C$38-1)))+BE12*(MAX(0,MIN(Supuestos!$C$38-1,1)))</f>
        <v>5781570935.026</v>
      </c>
      <c r="BH22" s="57" t="n">
        <f aca="false">BH12*(MAX(0,1-Supuestos!$C$38))+BG12*(MAX(0,MIN(Supuestos!$C$38,1)-MAX(0,Supuestos!$C$38-1)))+BF12*(MAX(0,MIN(Supuestos!$C$38-1,1)))</f>
        <v>5781570935.026</v>
      </c>
      <c r="BI22" s="57" t="n">
        <f aca="false">BI12*(MAX(0,1-Supuestos!$C$38))+BH12*(MAX(0,MIN(Supuestos!$C$38,1)-MAX(0,Supuestos!$C$38-1)))+BG12*(MAX(0,MIN(Supuestos!$C$38-1,1)))</f>
        <v>5781570935.026</v>
      </c>
      <c r="BJ22" s="57" t="n">
        <f aca="false">BJ12*(MAX(0,1-Supuestos!$C$38))+BI12*(MAX(0,MIN(Supuestos!$C$38,1)-MAX(0,Supuestos!$C$38-1)))+BH12*(MAX(0,MIN(Supuestos!$C$38-1,1)))</f>
        <v>5492492388.2747</v>
      </c>
      <c r="BK22" s="57" t="n">
        <f aca="false">BK12*(MAX(0,1-Supuestos!$C$38))+BJ12*(MAX(0,MIN(Supuestos!$C$38,1)-MAX(0,Supuestos!$C$38-1)))+BI12*(MAX(0,MIN(Supuestos!$C$38-1,1)))</f>
        <v>4625256748.0208</v>
      </c>
      <c r="BL22" s="57" t="n">
        <f aca="false">BL12*(MAX(0,1-Supuestos!$C$38))+BK12*(MAX(0,MIN(Supuestos!$C$38,1)-MAX(0,Supuestos!$C$38-1)))+BJ12*(MAX(0,MIN(Supuestos!$C$38-1,1)))</f>
        <v>2890785467.513</v>
      </c>
      <c r="BM22" s="57" t="n">
        <f aca="false">BM12*(MAX(0,1-Supuestos!$C$38))+BL12*(MAX(0,MIN(Supuestos!$C$38,1)-MAX(0,Supuestos!$C$38-1)))+BK12*(MAX(0,MIN(Supuestos!$C$38-1,1)))</f>
        <v>2023549827.2591</v>
      </c>
      <c r="BN22" s="57" t="n">
        <f aca="false">BN12*(MAX(0,1-Supuestos!$C$38))+BM12*(MAX(0,MIN(Supuestos!$C$38,1)-MAX(0,Supuestos!$C$38-1)))+BL12*(MAX(0,MIN(Supuestos!$C$38-1,1)))</f>
        <v>3468942561.0156</v>
      </c>
      <c r="BO22" s="57" t="n">
        <f aca="false">BO12*(MAX(0,1-Supuestos!$C$38))+BN12*(MAX(0,MIN(Supuestos!$C$38,1)-MAX(0,Supuestos!$C$38-1)))+BM12*(MAX(0,MIN(Supuestos!$C$38-1,1)))</f>
        <v>4914335294.7721</v>
      </c>
      <c r="BP22" s="57" t="n">
        <f aca="false">BP12*(MAX(0,1-Supuestos!$C$38))+BO12*(MAX(0,MIN(Supuestos!$C$38,1)-MAX(0,Supuestos!$C$38-1)))+BN12*(MAX(0,MIN(Supuestos!$C$38-1,1)))</f>
        <v>5492492388.2747</v>
      </c>
      <c r="BQ22" s="57" t="n">
        <f aca="false">BQ12*(MAX(0,1-Supuestos!$C$38))+BP12*(MAX(0,MIN(Supuestos!$C$38,1)-MAX(0,Supuestos!$C$38-1)))+BO12*(MAX(0,MIN(Supuestos!$C$38-1,1)))</f>
        <v>5781570935.026</v>
      </c>
      <c r="BR22" s="57" t="n">
        <f aca="false">BR12*(MAX(0,1-Supuestos!$C$38))+BQ12*(MAX(0,MIN(Supuestos!$C$38,1)-MAX(0,Supuestos!$C$38-1)))+BP12*(MAX(0,MIN(Supuestos!$C$38-1,1)))</f>
        <v>5781570935.026</v>
      </c>
      <c r="BS22" s="57" t="n">
        <f aca="false">BS12*(MAX(0,1-Supuestos!$C$38))+BR12*(MAX(0,MIN(Supuestos!$C$38,1)-MAX(0,Supuestos!$C$38-1)))+BQ12*(MAX(0,MIN(Supuestos!$C$38-1,1)))</f>
        <v>5781570935.026</v>
      </c>
      <c r="BT22" s="57" t="n">
        <f aca="false">BT12*(MAX(0,1-Supuestos!$C$38))+BS12*(MAX(0,MIN(Supuestos!$C$38,1)-MAX(0,Supuestos!$C$38-1)))+BR12*(MAX(0,MIN(Supuestos!$C$38-1,1)))</f>
        <v>5781570935.026</v>
      </c>
      <c r="BU22" s="57" t="n">
        <f aca="false">BU12*(MAX(0,1-Supuestos!$C$38))+BT12*(MAX(0,MIN(Supuestos!$C$38,1)-MAX(0,Supuestos!$C$38-1)))+BS12*(MAX(0,MIN(Supuestos!$C$38-1,1)))</f>
        <v>5781570935.026</v>
      </c>
      <c r="BV22" s="57" t="n">
        <f aca="false">BV12*(MAX(0,1-Supuestos!$C$38))+BU12*(MAX(0,MIN(Supuestos!$C$38,1)-MAX(0,Supuestos!$C$38-1)))+BT12*(MAX(0,MIN(Supuestos!$C$38-1,1)))</f>
        <v>5492492388.2747</v>
      </c>
      <c r="BW22" s="57" t="n">
        <f aca="false">BW12*(MAX(0,1-Supuestos!$C$38))+BV12*(MAX(0,MIN(Supuestos!$C$38,1)-MAX(0,Supuestos!$C$38-1)))+BU12*(MAX(0,MIN(Supuestos!$C$38-1,1)))</f>
        <v>4625256748.0208</v>
      </c>
      <c r="BX22" s="57" t="n">
        <f aca="false">BX12*(MAX(0,1-Supuestos!$C$38))+BW12*(MAX(0,MIN(Supuestos!$C$38,1)-MAX(0,Supuestos!$C$38-1)))+BV12*(MAX(0,MIN(Supuestos!$C$38-1,1)))</f>
        <v>2890785467.513</v>
      </c>
      <c r="BY22" s="57" t="n">
        <f aca="false">BY12*(MAX(0,1-Supuestos!$C$38))+BX12*(MAX(0,MIN(Supuestos!$C$38,1)-MAX(0,Supuestos!$C$38-1)))+BW12*(MAX(0,MIN(Supuestos!$C$38-1,1)))</f>
        <v>2023549827.2591</v>
      </c>
      <c r="BZ22" s="57" t="n">
        <f aca="false">BZ12*(MAX(0,1-Supuestos!$C$38))+BY12*(MAX(0,MIN(Supuestos!$C$38,1)-MAX(0,Supuestos!$C$38-1)))+BX12*(MAX(0,MIN(Supuestos!$C$38-1,1)))</f>
        <v>3468942561.0156</v>
      </c>
      <c r="CA22" s="57" t="n">
        <f aca="false">CA12*(MAX(0,1-Supuestos!$C$38))+BZ12*(MAX(0,MIN(Supuestos!$C$38,1)-MAX(0,Supuestos!$C$38-1)))+BY12*(MAX(0,MIN(Supuestos!$C$38-1,1)))</f>
        <v>4914335294.7721</v>
      </c>
      <c r="CB22" s="57" t="n">
        <f aca="false">CB12*(MAX(0,1-Supuestos!$C$38))+CA12*(MAX(0,MIN(Supuestos!$C$38,1)-MAX(0,Supuestos!$C$38-1)))+BZ12*(MAX(0,MIN(Supuestos!$C$38-1,1)))</f>
        <v>5492492388.2747</v>
      </c>
      <c r="CC22" s="57" t="n">
        <f aca="false">CC12*(MAX(0,1-Supuestos!$C$38))+CB12*(MAX(0,MIN(Supuestos!$C$38,1)-MAX(0,Supuestos!$C$38-1)))+CA12*(MAX(0,MIN(Supuestos!$C$38-1,1)))</f>
        <v>5781570935.026</v>
      </c>
      <c r="CD22" s="57" t="n">
        <f aca="false">CD12*(MAX(0,1-Supuestos!$C$38))+CC12*(MAX(0,MIN(Supuestos!$C$38,1)-MAX(0,Supuestos!$C$38-1)))+CB12*(MAX(0,MIN(Supuestos!$C$38-1,1)))</f>
        <v>5781570935.026</v>
      </c>
      <c r="CE22" s="57" t="n">
        <f aca="false">CE12*(MAX(0,1-Supuestos!$C$38))+CD12*(MAX(0,MIN(Supuestos!$C$38,1)-MAX(0,Supuestos!$C$38-1)))+CC12*(MAX(0,MIN(Supuestos!$C$38-1,1)))</f>
        <v>5781570935.026</v>
      </c>
      <c r="CF22" s="57" t="n">
        <f aca="false">CF12*(MAX(0,1-Supuestos!$C$38))+CE12*(MAX(0,MIN(Supuestos!$C$38,1)-MAX(0,Supuestos!$C$38-1)))+CD12*(MAX(0,MIN(Supuestos!$C$38-1,1)))</f>
        <v>5781570935.026</v>
      </c>
      <c r="CG22" s="57" t="n">
        <f aca="false">CG12*(MAX(0,1-Supuestos!$C$38))+CF12*(MAX(0,MIN(Supuestos!$C$38,1)-MAX(0,Supuestos!$C$38-1)))+CE12*(MAX(0,MIN(Supuestos!$C$38-1,1)))</f>
        <v>5781570935.026</v>
      </c>
      <c r="CH22" s="57" t="n">
        <f aca="false">CH12*(MAX(0,1-Supuestos!$C$38))+CG12*(MAX(0,MIN(Supuestos!$C$38,1)-MAX(0,Supuestos!$C$38-1)))+CF12*(MAX(0,MIN(Supuestos!$C$38-1,1)))</f>
        <v>5492492388.2747</v>
      </c>
      <c r="CI22" s="57" t="n">
        <f aca="false">CI12*(MAX(0,1-Supuestos!$C$38))+CH12*(MAX(0,MIN(Supuestos!$C$38,1)-MAX(0,Supuestos!$C$38-1)))+CG12*(MAX(0,MIN(Supuestos!$C$38-1,1)))</f>
        <v>4625256748.0208</v>
      </c>
      <c r="CJ22" s="57" t="n">
        <f aca="false">CJ12*(MAX(0,1-Supuestos!$C$38))+CI12*(MAX(0,MIN(Supuestos!$C$38,1)-MAX(0,Supuestos!$C$38-1)))+CH12*(MAX(0,MIN(Supuestos!$C$38-1,1)))</f>
        <v>2890785467.513</v>
      </c>
      <c r="CK22" s="57" t="n">
        <f aca="false">CK12*(MAX(0,1-Supuestos!$C$38))+CJ12*(MAX(0,MIN(Supuestos!$C$38,1)-MAX(0,Supuestos!$C$38-1)))+CI12*(MAX(0,MIN(Supuestos!$C$38-1,1)))</f>
        <v>2023549827.2591</v>
      </c>
      <c r="CL22" s="57" t="n">
        <f aca="false">CL12*(MAX(0,1-Supuestos!$C$38))+CK12*(MAX(0,MIN(Supuestos!$C$38,1)-MAX(0,Supuestos!$C$38-1)))+CJ12*(MAX(0,MIN(Supuestos!$C$38-1,1)))</f>
        <v>3468942561.0156</v>
      </c>
      <c r="CM22" s="57" t="n">
        <f aca="false">CM12*(MAX(0,1-Supuestos!$C$38))+CL12*(MAX(0,MIN(Supuestos!$C$38,1)-MAX(0,Supuestos!$C$38-1)))+CK12*(MAX(0,MIN(Supuestos!$C$38-1,1)))</f>
        <v>4914335294.7721</v>
      </c>
      <c r="CN22" s="57" t="n">
        <f aca="false">CN12*(MAX(0,1-Supuestos!$C$38))+CM12*(MAX(0,MIN(Supuestos!$C$38,1)-MAX(0,Supuestos!$C$38-1)))+CL12*(MAX(0,MIN(Supuestos!$C$38-1,1)))</f>
        <v>5492492388.2747</v>
      </c>
      <c r="CO22" s="57" t="n">
        <f aca="false">CO12*(MAX(0,1-Supuestos!$C$38))+CN12*(MAX(0,MIN(Supuestos!$C$38,1)-MAX(0,Supuestos!$C$38-1)))+CM12*(MAX(0,MIN(Supuestos!$C$38-1,1)))</f>
        <v>5781570935.026</v>
      </c>
      <c r="CP22" s="57" t="n">
        <f aca="false">CP12*(MAX(0,1-Supuestos!$C$38))+CO12*(MAX(0,MIN(Supuestos!$C$38,1)-MAX(0,Supuestos!$C$38-1)))+CN12*(MAX(0,MIN(Supuestos!$C$38-1,1)))</f>
        <v>5781570935.026</v>
      </c>
      <c r="CQ22" s="57" t="n">
        <f aca="false">CQ12*(MAX(0,1-Supuestos!$C$38))+CP12*(MAX(0,MIN(Supuestos!$C$38,1)-MAX(0,Supuestos!$C$38-1)))+CO12*(MAX(0,MIN(Supuestos!$C$38-1,1)))</f>
        <v>5781570935.026</v>
      </c>
      <c r="CR22" s="57" t="n">
        <f aca="false">CR12*(MAX(0,1-Supuestos!$C$38))+CQ12*(MAX(0,MIN(Supuestos!$C$38,1)-MAX(0,Supuestos!$C$38-1)))+CP12*(MAX(0,MIN(Supuestos!$C$38-1,1)))</f>
        <v>5781570935.026</v>
      </c>
      <c r="CS22" s="57" t="n">
        <f aca="false">CS12*(MAX(0,1-Supuestos!$C$38))+CR12*(MAX(0,MIN(Supuestos!$C$38,1)-MAX(0,Supuestos!$C$38-1)))+CQ12*(MAX(0,MIN(Supuestos!$C$38-1,1)))</f>
        <v>5781570935.026</v>
      </c>
      <c r="CT22" s="57" t="n">
        <f aca="false">CT12*(MAX(0,1-Supuestos!$C$38))+CS12*(MAX(0,MIN(Supuestos!$C$38,1)-MAX(0,Supuestos!$C$38-1)))+CR12*(MAX(0,MIN(Supuestos!$C$38-1,1)))</f>
        <v>5492492388.2747</v>
      </c>
    </row>
    <row r="23" customFormat="false" ht="15" hidden="false" customHeight="true" outlineLevel="0" collapsed="false">
      <c r="B23" s="54" t="s">
        <v>581</v>
      </c>
      <c r="C23" s="60" t="n">
        <f aca="false">C20+C21+C22</f>
        <v>21723735800.7903</v>
      </c>
      <c r="D23" s="60" t="n">
        <f aca="false">D20+D21+D22</f>
        <v>26339154299.4554</v>
      </c>
      <c r="E23" s="60" t="n">
        <f aca="false">E20+E21+E22</f>
        <v>22300075752.7041</v>
      </c>
      <c r="F23" s="60" t="n">
        <f aca="false">F20+F21+F22</f>
        <v>24143220693.312</v>
      </c>
      <c r="G23" s="60" t="n">
        <f aca="false">G20+G21+G22</f>
        <v>29338613427.0685</v>
      </c>
      <c r="H23" s="60" t="n">
        <f aca="false">H20+H21+H22</f>
        <v>30458675271.5288</v>
      </c>
      <c r="I23" s="60" t="n">
        <f aca="false">I20+I21+I22</f>
        <v>26455849067.3224</v>
      </c>
      <c r="J23" s="60" t="n">
        <f aca="false">J20+J21+J22</f>
        <v>30205849067.3224</v>
      </c>
      <c r="K23" s="60" t="n">
        <f aca="false">K20+K21+K22</f>
        <v>26455849067.3224</v>
      </c>
      <c r="L23" s="60" t="n">
        <f aca="false">L20+L21+L22</f>
        <v>26455849067.3224</v>
      </c>
      <c r="M23" s="60" t="n">
        <f aca="false">M20+M21+M22</f>
        <v>30250041718.1908</v>
      </c>
      <c r="N23" s="60" t="n">
        <f aca="false">N20+N21+N22</f>
        <v>30502867922.3972</v>
      </c>
      <c r="O23" s="60" t="n">
        <f aca="false">O20+O21+O22</f>
        <v>24702906570.0401</v>
      </c>
      <c r="P23" s="60" t="n">
        <f aca="false">P20+P21+P22</f>
        <v>26794722444.6111</v>
      </c>
      <c r="Q23" s="60" t="n">
        <f aca="false">Q20+Q21+Q22</f>
        <v>22464748209.5197</v>
      </c>
      <c r="R23" s="60" t="n">
        <f aca="false">R20+R21+R22</f>
        <v>24307893150.1276</v>
      </c>
      <c r="S23" s="60" t="n">
        <f aca="false">S20+S21+S22</f>
        <v>29503285883.8841</v>
      </c>
      <c r="T23" s="60" t="n">
        <f aca="false">T20+T21+T22</f>
        <v>30623347728.3444</v>
      </c>
      <c r="U23" s="60" t="n">
        <f aca="false">U20+U21+U22</f>
        <v>26620521524.138</v>
      </c>
      <c r="V23" s="60" t="n">
        <f aca="false">V20+V21+V22</f>
        <v>30370521524.138</v>
      </c>
      <c r="W23" s="60" t="n">
        <f aca="false">W20+W21+W22</f>
        <v>26620521524.138</v>
      </c>
      <c r="X23" s="60" t="n">
        <f aca="false">X20+X21+X22</f>
        <v>26620521524.138</v>
      </c>
      <c r="Y23" s="60" t="n">
        <f aca="false">Y20+Y21+Y22</f>
        <v>26664714175.0064</v>
      </c>
      <c r="Z23" s="60" t="n">
        <f aca="false">Z20+Z21+Z22</f>
        <v>30667540379.2128</v>
      </c>
      <c r="AA23" s="60" t="n">
        <f aca="false">AA20+AA21+AA22</f>
        <v>24712796135.6335</v>
      </c>
      <c r="AB23" s="60" t="n">
        <f aca="false">AB20+AB21+AB22</f>
        <v>23040464429.63</v>
      </c>
      <c r="AC23" s="60" t="n">
        <f aca="false">AC20+AC21+AC22</f>
        <v>22460490194.5386</v>
      </c>
      <c r="AD23" s="60" t="n">
        <f aca="false">AD20+AD21+AD22</f>
        <v>24303635135.1465</v>
      </c>
      <c r="AE23" s="60" t="n">
        <f aca="false">AE20+AE21+AE22</f>
        <v>25749027868.903</v>
      </c>
      <c r="AF23" s="60" t="n">
        <f aca="false">AF20+AF21+AF22</f>
        <v>30619089713.3633</v>
      </c>
      <c r="AG23" s="60" t="n">
        <f aca="false">AG20+AG21+AG22</f>
        <v>26616263509.1569</v>
      </c>
      <c r="AH23" s="60" t="n">
        <f aca="false">AH20+AH21+AH22</f>
        <v>26616263509.1569</v>
      </c>
      <c r="AI23" s="60" t="n">
        <f aca="false">AI20+AI21+AI22</f>
        <v>26616263509.1569</v>
      </c>
      <c r="AJ23" s="60" t="n">
        <f aca="false">AJ20+AJ21+AJ22</f>
        <v>26616263509.1569</v>
      </c>
      <c r="AK23" s="60" t="n">
        <f aca="false">AK20+AK21+AK22</f>
        <v>26660456160.0253</v>
      </c>
      <c r="AL23" s="60" t="n">
        <f aca="false">AL20+AL21+AL22</f>
        <v>30663282364.2317</v>
      </c>
      <c r="AM23" s="60" t="n">
        <f aca="false">AM20+AM21+AM22</f>
        <v>24863321011.8746</v>
      </c>
      <c r="AN23" s="60" t="n">
        <f aca="false">AN20+AN21+AN22</f>
        <v>23087492006.99</v>
      </c>
      <c r="AO23" s="60" t="n">
        <f aca="false">AO20+AO21+AO22</f>
        <v>22507517771.8986</v>
      </c>
      <c r="AP23" s="60" t="n">
        <f aca="false">AP20+AP21+AP22</f>
        <v>24350662712.5065</v>
      </c>
      <c r="AQ23" s="60" t="n">
        <f aca="false">AQ20+AQ21+AQ22</f>
        <v>25796055446.263</v>
      </c>
      <c r="AR23" s="60" t="n">
        <f aca="false">AR20+AR21+AR22</f>
        <v>30666117290.7232</v>
      </c>
      <c r="AS23" s="60" t="n">
        <f aca="false">AS20+AS21+AS22</f>
        <v>26663291086.5169</v>
      </c>
      <c r="AT23" s="60" t="n">
        <f aca="false">AT20+AT21+AT22</f>
        <v>26663291086.5169</v>
      </c>
      <c r="AU23" s="60" t="n">
        <f aca="false">AU20+AU21+AU22</f>
        <v>26663291086.5169</v>
      </c>
      <c r="AV23" s="60" t="n">
        <f aca="false">AV20+AV21+AV22</f>
        <v>26663291086.5169</v>
      </c>
      <c r="AW23" s="60" t="n">
        <f aca="false">AW20+AW21+AW22</f>
        <v>26707483737.3852</v>
      </c>
      <c r="AX23" s="60" t="n">
        <f aca="false">AX20+AX21+AX22</f>
        <v>30710309941.5916</v>
      </c>
      <c r="AY23" s="60" t="n">
        <f aca="false">AY20+AY21+AY22</f>
        <v>24910348589.2346</v>
      </c>
      <c r="AZ23" s="60" t="n">
        <f aca="false">AZ20+AZ21+AZ22</f>
        <v>23087492006.99</v>
      </c>
      <c r="BA23" s="60" t="n">
        <f aca="false">BA20+BA21+BA22</f>
        <v>22507517771.8986</v>
      </c>
      <c r="BB23" s="60" t="n">
        <f aca="false">BB20+BB21+BB22</f>
        <v>24350662712.5065</v>
      </c>
      <c r="BC23" s="60" t="n">
        <f aca="false">BC20+BC21+BC22</f>
        <v>25796055446.263</v>
      </c>
      <c r="BD23" s="60" t="n">
        <f aca="false">BD20+BD21+BD22</f>
        <v>30666117290.7232</v>
      </c>
      <c r="BE23" s="60" t="n">
        <f aca="false">BE20+BE21+BE22</f>
        <v>26663291086.5169</v>
      </c>
      <c r="BF23" s="60" t="n">
        <f aca="false">BF20+BF21+BF22</f>
        <v>26663291086.5169</v>
      </c>
      <c r="BG23" s="60" t="n">
        <f aca="false">BG20+BG21+BG22</f>
        <v>26663291086.5169</v>
      </c>
      <c r="BH23" s="60" t="n">
        <f aca="false">BH20+BH21+BH22</f>
        <v>26663291086.5169</v>
      </c>
      <c r="BI23" s="60" t="n">
        <f aca="false">BI20+BI21+BI22</f>
        <v>26707483737.3852</v>
      </c>
      <c r="BJ23" s="60" t="n">
        <f aca="false">BJ20+BJ21+BJ22</f>
        <v>30710309941.5916</v>
      </c>
      <c r="BK23" s="60" t="n">
        <f aca="false">BK20+BK21+BK22</f>
        <v>24910348589.2346</v>
      </c>
      <c r="BL23" s="60" t="n">
        <f aca="false">BL20+BL21+BL22</f>
        <v>23087492006.99</v>
      </c>
      <c r="BM23" s="60" t="n">
        <f aca="false">BM20+BM21+BM22</f>
        <v>22507517771.8986</v>
      </c>
      <c r="BN23" s="60" t="n">
        <f aca="false">BN20+BN21+BN22</f>
        <v>24350662712.5065</v>
      </c>
      <c r="BO23" s="60" t="n">
        <f aca="false">BO20+BO21+BO22</f>
        <v>25796055446.263</v>
      </c>
      <c r="BP23" s="60" t="n">
        <f aca="false">BP20+BP21+BP22</f>
        <v>30666117290.7232</v>
      </c>
      <c r="BQ23" s="60" t="n">
        <f aca="false">BQ20+BQ21+BQ22</f>
        <v>26663291086.5169</v>
      </c>
      <c r="BR23" s="60" t="n">
        <f aca="false">BR20+BR21+BR22</f>
        <v>26663291086.5169</v>
      </c>
      <c r="BS23" s="60" t="n">
        <f aca="false">BS20+BS21+BS22</f>
        <v>26663291086.5169</v>
      </c>
      <c r="BT23" s="60" t="n">
        <f aca="false">BT20+BT21+BT22</f>
        <v>26663291086.5169</v>
      </c>
      <c r="BU23" s="60" t="n">
        <f aca="false">BU20+BU21+BU22</f>
        <v>26707483737.3852</v>
      </c>
      <c r="BV23" s="60" t="n">
        <f aca="false">BV20+BV21+BV22</f>
        <v>30710309941.5916</v>
      </c>
      <c r="BW23" s="60" t="n">
        <f aca="false">BW20+BW21+BW22</f>
        <v>24910348589.2346</v>
      </c>
      <c r="BX23" s="60" t="n">
        <f aca="false">BX20+BX21+BX22</f>
        <v>23087492006.99</v>
      </c>
      <c r="BY23" s="60" t="n">
        <f aca="false">BY20+BY21+BY22</f>
        <v>22507517771.8986</v>
      </c>
      <c r="BZ23" s="60" t="n">
        <f aca="false">BZ20+BZ21+BZ22</f>
        <v>24350662712.5065</v>
      </c>
      <c r="CA23" s="60" t="n">
        <f aca="false">CA20+CA21+CA22</f>
        <v>25796055446.263</v>
      </c>
      <c r="CB23" s="60" t="n">
        <f aca="false">CB20+CB21+CB22</f>
        <v>30666117290.7232</v>
      </c>
      <c r="CC23" s="60" t="n">
        <f aca="false">CC20+CC21+CC22</f>
        <v>26663291086.5169</v>
      </c>
      <c r="CD23" s="60" t="n">
        <f aca="false">CD20+CD21+CD22</f>
        <v>26663291086.5169</v>
      </c>
      <c r="CE23" s="60" t="n">
        <f aca="false">CE20+CE21+CE22</f>
        <v>26663291086.5169</v>
      </c>
      <c r="CF23" s="60" t="n">
        <f aca="false">CF20+CF21+CF22</f>
        <v>26663291086.5169</v>
      </c>
      <c r="CG23" s="60" t="n">
        <f aca="false">CG20+CG21+CG22</f>
        <v>26707483737.3852</v>
      </c>
      <c r="CH23" s="60" t="n">
        <f aca="false">CH20+CH21+CH22</f>
        <v>30710309941.5916</v>
      </c>
      <c r="CI23" s="60" t="n">
        <f aca="false">CI20+CI21+CI22</f>
        <v>24910348589.2346</v>
      </c>
      <c r="CJ23" s="60" t="n">
        <f aca="false">CJ20+CJ21+CJ22</f>
        <v>23087492006.99</v>
      </c>
      <c r="CK23" s="60" t="n">
        <f aca="false">CK20+CK21+CK22</f>
        <v>22507517771.8986</v>
      </c>
      <c r="CL23" s="60" t="n">
        <f aca="false">CL20+CL21+CL22</f>
        <v>24350662712.5065</v>
      </c>
      <c r="CM23" s="60" t="n">
        <f aca="false">CM20+CM21+CM22</f>
        <v>25796055446.263</v>
      </c>
      <c r="CN23" s="60" t="n">
        <f aca="false">CN20+CN21+CN22</f>
        <v>30666117290.7232</v>
      </c>
      <c r="CO23" s="60" t="n">
        <f aca="false">CO20+CO21+CO22</f>
        <v>26663291086.5169</v>
      </c>
      <c r="CP23" s="60" t="n">
        <f aca="false">CP20+CP21+CP22</f>
        <v>26663291086.5169</v>
      </c>
      <c r="CQ23" s="60" t="n">
        <f aca="false">CQ20+CQ21+CQ22</f>
        <v>26663291086.5169</v>
      </c>
      <c r="CR23" s="60" t="n">
        <f aca="false">CR20+CR21+CR22</f>
        <v>26663291086.5169</v>
      </c>
      <c r="CS23" s="60" t="n">
        <f aca="false">CS20+CS21+CS22</f>
        <v>26707483737.3852</v>
      </c>
      <c r="CT23" s="60" t="n">
        <f aca="false">CT20+CT21+CT22</f>
        <v>30710309941.5916</v>
      </c>
    </row>
    <row r="25" customFormat="false" ht="24.75" hidden="false" customHeight="true" outlineLevel="0" collapsed="false">
      <c r="B25" s="22" t="s">
        <v>582</v>
      </c>
      <c r="C25" s="62" t="n">
        <f aca="false">C17-C23</f>
        <v>0</v>
      </c>
      <c r="D25" s="62" t="n">
        <f aca="false">D17-D23</f>
        <v>0</v>
      </c>
      <c r="E25" s="62" t="n">
        <f aca="false">E17-E23</f>
        <v>2999459127.6131</v>
      </c>
      <c r="F25" s="62" t="n">
        <f aca="false">F17-F23</f>
        <v>1734471280.5078</v>
      </c>
      <c r="G25" s="62" t="n">
        <f aca="false">G17-G23</f>
        <v>867235640.253899</v>
      </c>
      <c r="H25" s="62" t="n">
        <f aca="false">H17-H23</f>
        <v>289078546.751305</v>
      </c>
      <c r="I25" s="62" t="n">
        <f aca="false">I17-I23</f>
        <v>0</v>
      </c>
      <c r="J25" s="62" t="n">
        <f aca="false">J17-J23</f>
        <v>0</v>
      </c>
      <c r="K25" s="62" t="n">
        <f aca="false">K17-K23</f>
        <v>0</v>
      </c>
      <c r="L25" s="62" t="n">
        <f aca="false">L17-L23</f>
        <v>44192650.8683815</v>
      </c>
      <c r="M25" s="62" t="n">
        <f aca="false">M17-M23</f>
        <v>-578157093.502602</v>
      </c>
      <c r="N25" s="62" t="n">
        <f aca="false">N17-N23</f>
        <v>-2086213694.90198</v>
      </c>
      <c r="O25" s="62" t="n">
        <f aca="false">O17-O23</f>
        <v>-2814498312.43419</v>
      </c>
      <c r="P25" s="62" t="n">
        <f aca="false">P17-P23</f>
        <v>-290895688.340141</v>
      </c>
      <c r="Q25" s="62" t="n">
        <f aca="false">Q17-Q23</f>
        <v>2999459127.6131</v>
      </c>
      <c r="R25" s="62" t="n">
        <f aca="false">R17-R23</f>
        <v>1734471280.5078</v>
      </c>
      <c r="S25" s="62" t="n">
        <f aca="false">S17-S23</f>
        <v>867235640.253902</v>
      </c>
      <c r="T25" s="62" t="n">
        <f aca="false">T17-T23</f>
        <v>289078546.751301</v>
      </c>
      <c r="U25" s="62" t="n">
        <f aca="false">U17-U23</f>
        <v>0</v>
      </c>
      <c r="V25" s="62" t="n">
        <f aca="false">V17-V23</f>
        <v>0</v>
      </c>
      <c r="W25" s="62" t="n">
        <f aca="false">W17-W23</f>
        <v>0</v>
      </c>
      <c r="X25" s="62" t="n">
        <f aca="false">X17-X23</f>
        <v>44192650.8683815</v>
      </c>
      <c r="Y25" s="62" t="n">
        <f aca="false">Y17-Y23</f>
        <v>-578157093.502602</v>
      </c>
      <c r="Z25" s="62" t="n">
        <f aca="false">Z17-Z23</f>
        <v>-2086213694.90198</v>
      </c>
      <c r="AA25" s="62" t="n">
        <f aca="false">AA17-AA23</f>
        <v>-2828645893.00864</v>
      </c>
      <c r="AB25" s="62" t="n">
        <f aca="false">AB17-AB23</f>
        <v>-290895688.340145</v>
      </c>
      <c r="AC25" s="62" t="n">
        <f aca="false">AC17-AC23</f>
        <v>2999459127.61309</v>
      </c>
      <c r="AD25" s="62" t="n">
        <f aca="false">AD17-AD23</f>
        <v>1734471280.5078</v>
      </c>
      <c r="AE25" s="62" t="n">
        <f aca="false">AE17-AE23</f>
        <v>867235640.253899</v>
      </c>
      <c r="AF25" s="62" t="n">
        <f aca="false">AF17-AF23</f>
        <v>289078546.751301</v>
      </c>
      <c r="AG25" s="62" t="n">
        <f aca="false">AG17-AG23</f>
        <v>0</v>
      </c>
      <c r="AH25" s="62" t="n">
        <f aca="false">AH17-AH23</f>
        <v>0</v>
      </c>
      <c r="AI25" s="62" t="n">
        <f aca="false">AI17-AI23</f>
        <v>0</v>
      </c>
      <c r="AJ25" s="62" t="n">
        <f aca="false">AJ17-AJ23</f>
        <v>44192650.8683777</v>
      </c>
      <c r="AK25" s="62" t="n">
        <f aca="false">AK17-AK23</f>
        <v>-578157093.502605</v>
      </c>
      <c r="AL25" s="62" t="n">
        <f aca="false">AL17-AL23</f>
        <v>-2086213694.90198</v>
      </c>
      <c r="AM25" s="62" t="n">
        <f aca="false">AM17-AM23</f>
        <v>-2932143191.88979</v>
      </c>
      <c r="AN25" s="62" t="n">
        <f aca="false">AN17-AN23</f>
        <v>-290895688.340145</v>
      </c>
      <c r="AO25" s="62" t="n">
        <f aca="false">AO17-AO23</f>
        <v>2999459127.6131</v>
      </c>
      <c r="AP25" s="62" t="n">
        <f aca="false">AP17-AP23</f>
        <v>1734471280.5078</v>
      </c>
      <c r="AQ25" s="62" t="n">
        <f aca="false">AQ17-AQ23</f>
        <v>867235640.253895</v>
      </c>
      <c r="AR25" s="62" t="n">
        <f aca="false">AR17-AR23</f>
        <v>289078546.751297</v>
      </c>
      <c r="AS25" s="62" t="n">
        <f aca="false">AS17-AS23</f>
        <v>0</v>
      </c>
      <c r="AT25" s="62" t="n">
        <f aca="false">AT17-AT23</f>
        <v>0</v>
      </c>
      <c r="AU25" s="62" t="n">
        <f aca="false">AU17-AU23</f>
        <v>0</v>
      </c>
      <c r="AV25" s="62" t="n">
        <f aca="false">AV17-AV23</f>
        <v>44192650.8683777</v>
      </c>
      <c r="AW25" s="62" t="n">
        <f aca="false">AW17-AW23</f>
        <v>-578157093.502602</v>
      </c>
      <c r="AX25" s="62" t="n">
        <f aca="false">AX17-AX23</f>
        <v>-2086213694.90198</v>
      </c>
      <c r="AY25" s="62" t="n">
        <f aca="false">AY17-AY23</f>
        <v>-2979170769.24976</v>
      </c>
      <c r="AZ25" s="62" t="n">
        <f aca="false">AZ17-AZ23</f>
        <v>-290895688.340145</v>
      </c>
      <c r="BA25" s="62" t="n">
        <f aca="false">BA17-BA23</f>
        <v>2999459127.6131</v>
      </c>
      <c r="BB25" s="62" t="n">
        <f aca="false">BB17-BB23</f>
        <v>1734471280.5078</v>
      </c>
      <c r="BC25" s="62" t="n">
        <f aca="false">BC17-BC23</f>
        <v>867235640.253895</v>
      </c>
      <c r="BD25" s="62" t="n">
        <f aca="false">BD17-BD23</f>
        <v>289078546.751297</v>
      </c>
      <c r="BE25" s="62" t="n">
        <f aca="false">BE17-BE23</f>
        <v>0</v>
      </c>
      <c r="BF25" s="62" t="n">
        <f aca="false">BF17-BF23</f>
        <v>0</v>
      </c>
      <c r="BG25" s="62" t="n">
        <f aca="false">BG17-BG23</f>
        <v>0</v>
      </c>
      <c r="BH25" s="62" t="n">
        <f aca="false">BH17-BH23</f>
        <v>44192650.8683777</v>
      </c>
      <c r="BI25" s="62" t="n">
        <f aca="false">BI17-BI23</f>
        <v>-578157093.502602</v>
      </c>
      <c r="BJ25" s="62" t="n">
        <f aca="false">BJ17-BJ23</f>
        <v>-2086213694.90198</v>
      </c>
      <c r="BK25" s="62" t="n">
        <f aca="false">BK17-BK23</f>
        <v>-2979170769.24976</v>
      </c>
      <c r="BL25" s="62" t="n">
        <f aca="false">BL17-BL23</f>
        <v>-290895688.340145</v>
      </c>
      <c r="BM25" s="62" t="n">
        <f aca="false">BM17-BM23</f>
        <v>2999459127.6131</v>
      </c>
      <c r="BN25" s="62" t="n">
        <f aca="false">BN17-BN23</f>
        <v>1734471280.5078</v>
      </c>
      <c r="BO25" s="62" t="n">
        <f aca="false">BO17-BO23</f>
        <v>867235640.253895</v>
      </c>
      <c r="BP25" s="62" t="n">
        <f aca="false">BP17-BP23</f>
        <v>289078546.751297</v>
      </c>
      <c r="BQ25" s="62" t="n">
        <f aca="false">BQ17-BQ23</f>
        <v>0</v>
      </c>
      <c r="BR25" s="62" t="n">
        <f aca="false">BR17-BR23</f>
        <v>0</v>
      </c>
      <c r="BS25" s="62" t="n">
        <f aca="false">BS17-BS23</f>
        <v>0</v>
      </c>
      <c r="BT25" s="62" t="n">
        <f aca="false">BT17-BT23</f>
        <v>44192650.8683777</v>
      </c>
      <c r="BU25" s="62" t="n">
        <f aca="false">BU17-BU23</f>
        <v>-578157093.502602</v>
      </c>
      <c r="BV25" s="62" t="n">
        <f aca="false">BV17-BV23</f>
        <v>-2086213694.90198</v>
      </c>
      <c r="BW25" s="62" t="n">
        <f aca="false">BW17-BW23</f>
        <v>-2979170769.24976</v>
      </c>
      <c r="BX25" s="62" t="n">
        <f aca="false">BX17-BX23</f>
        <v>-290895688.340145</v>
      </c>
      <c r="BY25" s="62" t="n">
        <f aca="false">BY17-BY23</f>
        <v>2999459127.6131</v>
      </c>
      <c r="BZ25" s="62" t="n">
        <f aca="false">BZ17-BZ23</f>
        <v>1734471280.5078</v>
      </c>
      <c r="CA25" s="62" t="n">
        <f aca="false">CA17-CA23</f>
        <v>867235640.253895</v>
      </c>
      <c r="CB25" s="62" t="n">
        <f aca="false">CB17-CB23</f>
        <v>289078546.751297</v>
      </c>
      <c r="CC25" s="62" t="n">
        <f aca="false">CC17-CC23</f>
        <v>0</v>
      </c>
      <c r="CD25" s="62" t="n">
        <f aca="false">CD17-CD23</f>
        <v>0</v>
      </c>
      <c r="CE25" s="62" t="n">
        <f aca="false">CE17-CE23</f>
        <v>0</v>
      </c>
      <c r="CF25" s="62" t="n">
        <f aca="false">CF17-CF23</f>
        <v>44192650.8683777</v>
      </c>
      <c r="CG25" s="62" t="n">
        <f aca="false">CG17-CG23</f>
        <v>-578157093.502602</v>
      </c>
      <c r="CH25" s="62" t="n">
        <f aca="false">CH17-CH23</f>
        <v>-2086213694.90198</v>
      </c>
      <c r="CI25" s="62" t="n">
        <f aca="false">CI17-CI23</f>
        <v>-2979170769.24976</v>
      </c>
      <c r="CJ25" s="62" t="n">
        <f aca="false">CJ17-CJ23</f>
        <v>-290895688.340145</v>
      </c>
      <c r="CK25" s="62" t="n">
        <f aca="false">CK17-CK23</f>
        <v>2999459127.6131</v>
      </c>
      <c r="CL25" s="62" t="n">
        <f aca="false">CL17-CL23</f>
        <v>1734471280.5078</v>
      </c>
      <c r="CM25" s="62" t="n">
        <f aca="false">CM17-CM23</f>
        <v>867235640.253895</v>
      </c>
      <c r="CN25" s="62" t="n">
        <f aca="false">CN17-CN23</f>
        <v>289078546.751297</v>
      </c>
      <c r="CO25" s="62" t="n">
        <f aca="false">CO17-CO23</f>
        <v>0</v>
      </c>
      <c r="CP25" s="62" t="n">
        <f aca="false">CP17-CP23</f>
        <v>0</v>
      </c>
      <c r="CQ25" s="62" t="n">
        <f aca="false">CQ17-CQ23</f>
        <v>0</v>
      </c>
      <c r="CR25" s="62" t="n">
        <f aca="false">CR17-CR23</f>
        <v>44192650.8683777</v>
      </c>
      <c r="CS25" s="62" t="n">
        <f aca="false">CS17-CS23</f>
        <v>-578157093.502602</v>
      </c>
      <c r="CT25" s="62" t="n">
        <f aca="false">CT17-CT23</f>
        <v>-2086213694.90198</v>
      </c>
    </row>
    <row r="26" customFormat="false" ht="24.75" hidden="false" customHeight="true" outlineLevel="0" collapsed="false">
      <c r="B26" s="22" t="s">
        <v>583</v>
      </c>
      <c r="C26" s="67" t="n">
        <f aca="false">IFERROR((C8+C9+C11+C15)/C17,0)</f>
        <v>0.814240584223005</v>
      </c>
      <c r="D26" s="67" t="n">
        <f aca="false">IFERROR((D8+D9+D11+D15)/D17,0)</f>
        <v>0.818129461813291</v>
      </c>
      <c r="E26" s="67" t="n">
        <f aca="false">IFERROR((E8+E9+E11+E15)/E17,0)</f>
        <v>0.71225893362284</v>
      </c>
      <c r="F26" s="67" t="n">
        <f aca="false">IFERROR((F8+F9+F11+F15)/F17,0)</f>
        <v>0.696345707849024</v>
      </c>
      <c r="G26" s="67" t="n">
        <f aca="false">IFERROR((G8+G9+G11+G15)/G17,0)</f>
        <v>0.720715371598669</v>
      </c>
      <c r="H26" s="67" t="n">
        <f aca="false">IFERROR((H8+H9+H11+H15)/H17,0)</f>
        <v>0.725637541455192</v>
      </c>
      <c r="I26" s="67" t="n">
        <f aca="false">IFERROR((I8+I9+I11+I15)/I17,0)</f>
        <v>0.681128006481795</v>
      </c>
      <c r="J26" s="67" t="n">
        <f aca="false">IFERROR((J8+J9+J11+J15)/J17,0)</f>
        <v>0.720715371598669</v>
      </c>
      <c r="K26" s="67" t="n">
        <f aca="false">IFERROR((K8+K9+K11+K15)/K17,0)</f>
        <v>0.681128006481795</v>
      </c>
      <c r="L26" s="67" t="n">
        <f aca="false">IFERROR((L8+L9+L11+L15)/L17,0)</f>
        <v>0.679992127055369</v>
      </c>
      <c r="M26" s="67" t="n">
        <f aca="false">IFERROR((M8+M9+M11+M15)/M17,0)</f>
        <v>0.733685103267597</v>
      </c>
      <c r="N26" s="67" t="n">
        <f aca="false">IFERROR((N8+N9+N11+N15)/N17,0)</f>
        <v>0.773498945545529</v>
      </c>
      <c r="O26" s="67" t="n">
        <f aca="false">IFERROR((O8+O9+O11+O15)/O17,0)</f>
        <v>0.808114830542568</v>
      </c>
      <c r="P26" s="67" t="n">
        <f aca="false">IFERROR((P8+P9+P11+P15)/P17,0)</f>
        <v>0.813046294400943</v>
      </c>
      <c r="Q26" s="67" t="n">
        <f aca="false">IFERROR((Q8+Q9+Q11+Q15)/Q17,0)</f>
        <v>0.707652882983381</v>
      </c>
      <c r="R26" s="67" t="n">
        <f aca="false">IFERROR((R8+R9+R11+R15)/R17,0)</f>
        <v>0.691942537821591</v>
      </c>
      <c r="S26" s="67" t="n">
        <f aca="false">IFERROR((S8+S9+S11+S15)/S17,0)</f>
        <v>0.71680757005461</v>
      </c>
      <c r="T26" s="67" t="n">
        <f aca="false">IFERROR((T8+T9+T11+T15)/T17,0)</f>
        <v>0.72177202421479</v>
      </c>
      <c r="U26" s="67" t="n">
        <f aca="false">IFERROR((U8+U9+U11+U15)/U17,0)</f>
        <v>0.676914602092571</v>
      </c>
      <c r="V26" s="67" t="n">
        <f aca="false">IFERROR((V8+V9+V11+V15)/V17,0)</f>
        <v>0.71680757005461</v>
      </c>
      <c r="W26" s="67" t="n">
        <f aca="false">IFERROR((W8+W9+W11+W15)/W17,0)</f>
        <v>0.676914602092571</v>
      </c>
      <c r="X26" s="67" t="n">
        <f aca="false">IFERROR((X8+X9+X11+X15)/X17,0)</f>
        <v>0.675792720549733</v>
      </c>
      <c r="Y26" s="67" t="n">
        <f aca="false">IFERROR((Y8+Y9+Y11+Y15)/Y17,0)</f>
        <v>0.690770333498138</v>
      </c>
      <c r="Z26" s="67" t="n">
        <f aca="false">IFERROR((Z8+Z9+Z11+Z15)/Z17,0)</f>
        <v>0.769042400434306</v>
      </c>
      <c r="AA26" s="67" t="n">
        <f aca="false">IFERROR((AA8+AA9+AA11+AA15)/AA17,0)</f>
        <v>0.80119923526062</v>
      </c>
      <c r="AB26" s="67" t="n">
        <f aca="false">IFERROR((AB8+AB9+AB11+AB15)/AB17,0)</f>
        <v>0.775577569889708</v>
      </c>
      <c r="AC26" s="67" t="n">
        <f aca="false">IFERROR((AC8+AC9+AC11+AC15)/AC17,0)</f>
        <v>0.701691767636108</v>
      </c>
      <c r="AD26" s="67" t="n">
        <f aca="false">IFERROR((AD8+AD9+AD11+AD15)/AD17,0)</f>
        <v>0.686111215562349</v>
      </c>
      <c r="AE26" s="67" t="n">
        <f aca="false">IFERROR((AE8+AE9+AE11+AE15)/AE17,0)</f>
        <v>0.67120754337438</v>
      </c>
      <c r="AF26" s="67" t="n">
        <f aca="false">IFERROR((AF8+AF9+AF11+AF15)/AF17,0)</f>
        <v>0.716863626737028</v>
      </c>
      <c r="AG26" s="67" t="n">
        <f aca="false">IFERROR((AG8+AG9+AG11+AG15)/AG17,0)</f>
        <v>0.67120754337438</v>
      </c>
      <c r="AH26" s="67" t="n">
        <f aca="false">IFERROR((AH8+AH9+AH11+AH15)/AH17,0)</f>
        <v>0.67120754337438</v>
      </c>
      <c r="AI26" s="67" t="n">
        <f aca="false">IFERROR((AI8+AI9+AI11+AI15)/AI17,0)</f>
        <v>0.67120754337438</v>
      </c>
      <c r="AJ26" s="67" t="n">
        <f aca="false">IFERROR((AJ8+AJ9+AJ11+AJ15)/AJ17,0)</f>
        <v>0.670094942732946</v>
      </c>
      <c r="AK26" s="67" t="n">
        <f aca="false">IFERROR((AK8+AK9+AK11+AK15)/AK17,0)</f>
        <v>0.684948700197852</v>
      </c>
      <c r="AL26" s="67" t="n">
        <f aca="false">IFERROR((AL8+AL9+AL11+AL15)/AL17,0)</f>
        <v>0.7637406566161</v>
      </c>
      <c r="AM26" s="67" t="n">
        <f aca="false">IFERROR((AM8+AM9+AM11+AM15)/AM17,0)</f>
        <v>0.799481203546763</v>
      </c>
      <c r="AN26" s="67" t="n">
        <f aca="false">IFERROR((AN8+AN9+AN11+AN15)/AN17,0)</f>
        <v>0.773977614630738</v>
      </c>
      <c r="AO26" s="67" t="n">
        <f aca="false">IFERROR((AO8+AO9+AO11+AO15)/AO17,0)</f>
        <v>0.700398048509166</v>
      </c>
      <c r="AP26" s="67" t="n">
        <f aca="false">IFERROR((AP8+AP9+AP11+AP15)/AP17,0)</f>
        <v>0.68487426012727</v>
      </c>
      <c r="AQ26" s="67" t="n">
        <f aca="false">IFERROR((AQ8+AQ9+AQ11+AQ15)/AQ17,0)</f>
        <v>0.670023696092804</v>
      </c>
      <c r="AR26" s="67" t="n">
        <f aca="false">IFERROR((AR8+AR9+AR11+AR15)/AR17,0)</f>
        <v>0.715774557236712</v>
      </c>
      <c r="AS26" s="67" t="n">
        <f aca="false">IFERROR((AS8+AS9+AS11+AS15)/AS17,0)</f>
        <v>0.670023696092804</v>
      </c>
      <c r="AT26" s="67" t="n">
        <f aca="false">IFERROR((AT8+AT9+AT11+AT15)/AT17,0)</f>
        <v>0.670023696092804</v>
      </c>
      <c r="AU26" s="67" t="n">
        <f aca="false">IFERROR((AU8+AU9+AU11+AU15)/AU17,0)</f>
        <v>0.670023696092804</v>
      </c>
      <c r="AV26" s="67" t="n">
        <f aca="false">IFERROR((AV8+AV9+AV11+AV15)/AV17,0)</f>
        <v>0.66891501346414</v>
      </c>
      <c r="AW26" s="67" t="n">
        <f aca="false">IFERROR((AW8+AW9+AW11+AW15)/AW17,0)</f>
        <v>0.683715929127048</v>
      </c>
      <c r="AX26" s="67" t="n">
        <f aca="false">IFERROR((AX8+AX9+AX11+AX15)/AX17,0)</f>
        <v>0.762485879085224</v>
      </c>
      <c r="AY26" s="67" t="n">
        <f aca="false">IFERROR((AY8+AY9+AY11+AY15)/AY17,0)</f>
        <v>0.799481203546763</v>
      </c>
      <c r="AZ26" s="67" t="n">
        <f aca="false">IFERROR((AZ8+AZ9+AZ11+AZ15)/AZ17,0)</f>
        <v>0.773977614630738</v>
      </c>
      <c r="BA26" s="67" t="n">
        <f aca="false">IFERROR((BA8+BA9+BA11+BA15)/BA17,0)</f>
        <v>0.700398048509166</v>
      </c>
      <c r="BB26" s="67" t="n">
        <f aca="false">IFERROR((BB8+BB9+BB11+BB15)/BB17,0)</f>
        <v>0.68487426012727</v>
      </c>
      <c r="BC26" s="67" t="n">
        <f aca="false">IFERROR((BC8+BC9+BC11+BC15)/BC17,0)</f>
        <v>0.670023696092804</v>
      </c>
      <c r="BD26" s="67" t="n">
        <f aca="false">IFERROR((BD8+BD9+BD11+BD15)/BD17,0)</f>
        <v>0.715774557236712</v>
      </c>
      <c r="BE26" s="67" t="n">
        <f aca="false">IFERROR((BE8+BE9+BE11+BE15)/BE17,0)</f>
        <v>0.670023696092804</v>
      </c>
      <c r="BF26" s="67" t="n">
        <f aca="false">IFERROR((BF8+BF9+BF11+BF15)/BF17,0)</f>
        <v>0.670023696092804</v>
      </c>
      <c r="BG26" s="67" t="n">
        <f aca="false">IFERROR((BG8+BG9+BG11+BG15)/BG17,0)</f>
        <v>0.670023696092804</v>
      </c>
      <c r="BH26" s="67" t="n">
        <f aca="false">IFERROR((BH8+BH9+BH11+BH15)/BH17,0)</f>
        <v>0.66891501346414</v>
      </c>
      <c r="BI26" s="67" t="n">
        <f aca="false">IFERROR((BI8+BI9+BI11+BI15)/BI17,0)</f>
        <v>0.683715929127048</v>
      </c>
      <c r="BJ26" s="67" t="n">
        <f aca="false">IFERROR((BJ8+BJ9+BJ11+BJ15)/BJ17,0)</f>
        <v>0.762485879085224</v>
      </c>
      <c r="BK26" s="67" t="n">
        <f aca="false">IFERROR((BK8+BK9+BK11+BK15)/BK17,0)</f>
        <v>0.799481203546763</v>
      </c>
      <c r="BL26" s="67" t="n">
        <f aca="false">IFERROR((BL8+BL9+BL11+BL15)/BL17,0)</f>
        <v>0.773977614630738</v>
      </c>
      <c r="BM26" s="67" t="n">
        <f aca="false">IFERROR((BM8+BM9+BM11+BM15)/BM17,0)</f>
        <v>0.700398048509166</v>
      </c>
      <c r="BN26" s="67" t="n">
        <f aca="false">IFERROR((BN8+BN9+BN11+BN15)/BN17,0)</f>
        <v>0.68487426012727</v>
      </c>
      <c r="BO26" s="67" t="n">
        <f aca="false">IFERROR((BO8+BO9+BO11+BO15)/BO17,0)</f>
        <v>0.670023696092804</v>
      </c>
      <c r="BP26" s="67" t="n">
        <f aca="false">IFERROR((BP8+BP9+BP11+BP15)/BP17,0)</f>
        <v>0.715774557236712</v>
      </c>
      <c r="BQ26" s="67" t="n">
        <f aca="false">IFERROR((BQ8+BQ9+BQ11+BQ15)/BQ17,0)</f>
        <v>0.670023696092804</v>
      </c>
      <c r="BR26" s="67" t="n">
        <f aca="false">IFERROR((BR8+BR9+BR11+BR15)/BR17,0)</f>
        <v>0.670023696092804</v>
      </c>
      <c r="BS26" s="67" t="n">
        <f aca="false">IFERROR((BS8+BS9+BS11+BS15)/BS17,0)</f>
        <v>0.670023696092804</v>
      </c>
      <c r="BT26" s="67" t="n">
        <f aca="false">IFERROR((BT8+BT9+BT11+BT15)/BT17,0)</f>
        <v>0.66891501346414</v>
      </c>
      <c r="BU26" s="67" t="n">
        <f aca="false">IFERROR((BU8+BU9+BU11+BU15)/BU17,0)</f>
        <v>0.683715929127048</v>
      </c>
      <c r="BV26" s="67" t="n">
        <f aca="false">IFERROR((BV8+BV9+BV11+BV15)/BV17,0)</f>
        <v>0.762485879085224</v>
      </c>
      <c r="BW26" s="67" t="n">
        <f aca="false">IFERROR((BW8+BW9+BW11+BW15)/BW17,0)</f>
        <v>0.799481203546763</v>
      </c>
      <c r="BX26" s="67" t="n">
        <f aca="false">IFERROR((BX8+BX9+BX11+BX15)/BX17,0)</f>
        <v>0.773977614630738</v>
      </c>
      <c r="BY26" s="67" t="n">
        <f aca="false">IFERROR((BY8+BY9+BY11+BY15)/BY17,0)</f>
        <v>0.700398048509166</v>
      </c>
      <c r="BZ26" s="67" t="n">
        <f aca="false">IFERROR((BZ8+BZ9+BZ11+BZ15)/BZ17,0)</f>
        <v>0.68487426012727</v>
      </c>
      <c r="CA26" s="67" t="n">
        <f aca="false">IFERROR((CA8+CA9+CA11+CA15)/CA17,0)</f>
        <v>0.670023696092804</v>
      </c>
      <c r="CB26" s="67" t="n">
        <f aca="false">IFERROR((CB8+CB9+CB11+CB15)/CB17,0)</f>
        <v>0.715774557236712</v>
      </c>
      <c r="CC26" s="67" t="n">
        <f aca="false">IFERROR((CC8+CC9+CC11+CC15)/CC17,0)</f>
        <v>0.670023696092804</v>
      </c>
      <c r="CD26" s="67" t="n">
        <f aca="false">IFERROR((CD8+CD9+CD11+CD15)/CD17,0)</f>
        <v>0.670023696092804</v>
      </c>
      <c r="CE26" s="67" t="n">
        <f aca="false">IFERROR((CE8+CE9+CE11+CE15)/CE17,0)</f>
        <v>0.670023696092804</v>
      </c>
      <c r="CF26" s="67" t="n">
        <f aca="false">IFERROR((CF8+CF9+CF11+CF15)/CF17,0)</f>
        <v>0.66891501346414</v>
      </c>
      <c r="CG26" s="67" t="n">
        <f aca="false">IFERROR((CG8+CG9+CG11+CG15)/CG17,0)</f>
        <v>0.683715929127048</v>
      </c>
      <c r="CH26" s="67" t="n">
        <f aca="false">IFERROR((CH8+CH9+CH11+CH15)/CH17,0)</f>
        <v>0.762485879085224</v>
      </c>
      <c r="CI26" s="67" t="n">
        <f aca="false">IFERROR((CI8+CI9+CI11+CI15)/CI17,0)</f>
        <v>0.799481203546763</v>
      </c>
      <c r="CJ26" s="67" t="n">
        <f aca="false">IFERROR((CJ8+CJ9+CJ11+CJ15)/CJ17,0)</f>
        <v>0.773977614630738</v>
      </c>
      <c r="CK26" s="67" t="n">
        <f aca="false">IFERROR((CK8+CK9+CK11+CK15)/CK17,0)</f>
        <v>0.700398048509166</v>
      </c>
      <c r="CL26" s="67" t="n">
        <f aca="false">IFERROR((CL8+CL9+CL11+CL15)/CL17,0)</f>
        <v>0.68487426012727</v>
      </c>
      <c r="CM26" s="67" t="n">
        <f aca="false">IFERROR((CM8+CM9+CM11+CM15)/CM17,0)</f>
        <v>0.670023696092804</v>
      </c>
      <c r="CN26" s="67" t="n">
        <f aca="false">IFERROR((CN8+CN9+CN11+CN15)/CN17,0)</f>
        <v>0.715774557236712</v>
      </c>
      <c r="CO26" s="67" t="n">
        <f aca="false">IFERROR((CO8+CO9+CO11+CO15)/CO17,0)</f>
        <v>0.670023696092804</v>
      </c>
      <c r="CP26" s="67" t="n">
        <f aca="false">IFERROR((CP8+CP9+CP11+CP15)/CP17,0)</f>
        <v>0.670023696092804</v>
      </c>
      <c r="CQ26" s="67" t="n">
        <f aca="false">IFERROR((CQ8+CQ9+CQ11+CQ15)/CQ17,0)</f>
        <v>0.670023696092804</v>
      </c>
      <c r="CR26" s="67" t="n">
        <f aca="false">IFERROR((CR8+CR9+CR11+CR15)/CR17,0)</f>
        <v>0.66891501346414</v>
      </c>
      <c r="CS26" s="67" t="n">
        <f aca="false">IFERROR((CS8+CS9+CS11+CS15)/CS17,0)</f>
        <v>0.683715929127048</v>
      </c>
      <c r="CT26" s="67" t="n">
        <f aca="false">IFERROR((CT8+CT9+CT11+CT15)/CT17,0)</f>
        <v>0.762485879085224</v>
      </c>
    </row>
    <row r="28" customFormat="false" ht="15" hidden="false" customHeight="true" outlineLevel="0" collapsed="false">
      <c r="B28" s="61" t="s">
        <v>584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B6B4B"/>
    <pageSetUpPr fitToPage="false"/>
  </sheetPr>
  <dimension ref="B2:CT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52"/>
    <col collapsed="false" customWidth="true" hidden="false" outlineLevel="0" max="98" min="3" style="1" width="11"/>
  </cols>
  <sheetData>
    <row r="2" customFormat="false" ht="15.75" hidden="false" customHeight="true" outlineLevel="0" collapsed="false">
      <c r="B2" s="16" t="s">
        <v>585</v>
      </c>
    </row>
    <row r="3" customFormat="false" ht="38.25" hidden="false" customHeight="true" outlineLevel="0" collapsed="false">
      <c r="B3" s="68" t="s">
        <v>586</v>
      </c>
    </row>
    <row r="5" customFormat="false" ht="15" hidden="false" customHeight="true" outlineLevel="0" collapsed="false">
      <c r="B5" s="52" t="s">
        <v>541</v>
      </c>
      <c r="C5" s="52" t="s">
        <v>542</v>
      </c>
      <c r="D5" s="53"/>
      <c r="E5" s="53"/>
      <c r="F5" s="53"/>
      <c r="G5" s="53"/>
      <c r="H5" s="53"/>
      <c r="I5" s="53"/>
      <c r="J5" s="53"/>
      <c r="K5" s="53"/>
      <c r="L5" s="53"/>
      <c r="M5" s="53"/>
      <c r="N5" s="53"/>
      <c r="O5" s="52" t="s">
        <v>543</v>
      </c>
      <c r="P5" s="53"/>
      <c r="Q5" s="53"/>
      <c r="R5" s="53"/>
      <c r="S5" s="53"/>
      <c r="T5" s="53"/>
      <c r="U5" s="53"/>
      <c r="V5" s="53"/>
      <c r="W5" s="53"/>
      <c r="X5" s="53"/>
      <c r="Y5" s="53"/>
      <c r="Z5" s="53"/>
      <c r="AA5" s="52" t="s">
        <v>544</v>
      </c>
      <c r="AB5" s="53"/>
      <c r="AC5" s="53"/>
      <c r="AD5" s="53"/>
      <c r="AE5" s="53"/>
      <c r="AF5" s="53"/>
      <c r="AG5" s="53"/>
      <c r="AH5" s="53"/>
      <c r="AI5" s="53"/>
      <c r="AJ5" s="53"/>
      <c r="AK5" s="53"/>
      <c r="AL5" s="53"/>
      <c r="AM5" s="52" t="s">
        <v>545</v>
      </c>
      <c r="AN5" s="53"/>
      <c r="AO5" s="53"/>
      <c r="AP5" s="53"/>
      <c r="AQ5" s="53"/>
      <c r="AR5" s="53"/>
      <c r="AS5" s="53"/>
      <c r="AT5" s="53"/>
      <c r="AU5" s="53"/>
      <c r="AV5" s="53"/>
      <c r="AW5" s="53"/>
      <c r="AX5" s="53"/>
      <c r="AY5" s="52" t="s">
        <v>546</v>
      </c>
      <c r="AZ5" s="53"/>
      <c r="BA5" s="53"/>
      <c r="BB5" s="53"/>
      <c r="BC5" s="53"/>
      <c r="BD5" s="53"/>
      <c r="BE5" s="53"/>
      <c r="BF5" s="53"/>
      <c r="BG5" s="53"/>
      <c r="BH5" s="53"/>
      <c r="BI5" s="53"/>
      <c r="BJ5" s="53"/>
      <c r="BK5" s="52" t="s">
        <v>547</v>
      </c>
      <c r="BL5" s="53"/>
      <c r="BM5" s="53"/>
      <c r="BN5" s="53"/>
      <c r="BO5" s="53"/>
      <c r="BP5" s="53"/>
      <c r="BQ5" s="53"/>
      <c r="BR5" s="53"/>
      <c r="BS5" s="53"/>
      <c r="BT5" s="53"/>
      <c r="BU5" s="53"/>
      <c r="BV5" s="53"/>
      <c r="BW5" s="52" t="s">
        <v>548</v>
      </c>
      <c r="BX5" s="53"/>
      <c r="BY5" s="53"/>
      <c r="BZ5" s="53"/>
      <c r="CA5" s="53"/>
      <c r="CB5" s="53"/>
      <c r="CC5" s="53"/>
      <c r="CD5" s="53"/>
      <c r="CE5" s="53"/>
      <c r="CF5" s="53"/>
      <c r="CG5" s="53"/>
      <c r="CH5" s="53"/>
      <c r="CI5" s="52" t="s">
        <v>549</v>
      </c>
      <c r="CJ5" s="53"/>
      <c r="CK5" s="53"/>
      <c r="CL5" s="53"/>
      <c r="CM5" s="53"/>
      <c r="CN5" s="53"/>
      <c r="CO5" s="53"/>
      <c r="CP5" s="53"/>
      <c r="CQ5" s="53"/>
      <c r="CR5" s="53"/>
      <c r="CS5" s="53"/>
      <c r="CT5" s="53"/>
    </row>
    <row r="6" customFormat="false" ht="15" hidden="false" customHeight="true" outlineLevel="0" collapsed="false">
      <c r="B6" s="54" t="s">
        <v>550</v>
      </c>
      <c r="C6" s="55" t="s">
        <v>505</v>
      </c>
      <c r="D6" s="55" t="s">
        <v>506</v>
      </c>
      <c r="E6" s="55" t="s">
        <v>507</v>
      </c>
      <c r="F6" s="55" t="s">
        <v>508</v>
      </c>
      <c r="G6" s="55" t="s">
        <v>509</v>
      </c>
      <c r="H6" s="55" t="s">
        <v>510</v>
      </c>
      <c r="I6" s="55" t="s">
        <v>511</v>
      </c>
      <c r="J6" s="55" t="s">
        <v>512</v>
      </c>
      <c r="K6" s="55" t="s">
        <v>513</v>
      </c>
      <c r="L6" s="55" t="s">
        <v>514</v>
      </c>
      <c r="M6" s="55" t="s">
        <v>515</v>
      </c>
      <c r="N6" s="55" t="s">
        <v>516</v>
      </c>
      <c r="O6" s="55" t="s">
        <v>505</v>
      </c>
      <c r="P6" s="55" t="s">
        <v>506</v>
      </c>
      <c r="Q6" s="55" t="s">
        <v>507</v>
      </c>
      <c r="R6" s="55" t="s">
        <v>508</v>
      </c>
      <c r="S6" s="55" t="s">
        <v>509</v>
      </c>
      <c r="T6" s="55" t="s">
        <v>510</v>
      </c>
      <c r="U6" s="55" t="s">
        <v>511</v>
      </c>
      <c r="V6" s="55" t="s">
        <v>512</v>
      </c>
      <c r="W6" s="55" t="s">
        <v>513</v>
      </c>
      <c r="X6" s="55" t="s">
        <v>514</v>
      </c>
      <c r="Y6" s="55" t="s">
        <v>515</v>
      </c>
      <c r="Z6" s="55" t="s">
        <v>516</v>
      </c>
      <c r="AA6" s="55" t="s">
        <v>505</v>
      </c>
      <c r="AB6" s="55" t="s">
        <v>506</v>
      </c>
      <c r="AC6" s="55" t="s">
        <v>507</v>
      </c>
      <c r="AD6" s="55" t="s">
        <v>508</v>
      </c>
      <c r="AE6" s="55" t="s">
        <v>509</v>
      </c>
      <c r="AF6" s="55" t="s">
        <v>510</v>
      </c>
      <c r="AG6" s="55" t="s">
        <v>511</v>
      </c>
      <c r="AH6" s="55" t="s">
        <v>512</v>
      </c>
      <c r="AI6" s="55" t="s">
        <v>513</v>
      </c>
      <c r="AJ6" s="55" t="s">
        <v>514</v>
      </c>
      <c r="AK6" s="55" t="s">
        <v>515</v>
      </c>
      <c r="AL6" s="55" t="s">
        <v>516</v>
      </c>
      <c r="AM6" s="55" t="s">
        <v>505</v>
      </c>
      <c r="AN6" s="55" t="s">
        <v>506</v>
      </c>
      <c r="AO6" s="55" t="s">
        <v>507</v>
      </c>
      <c r="AP6" s="55" t="s">
        <v>508</v>
      </c>
      <c r="AQ6" s="55" t="s">
        <v>509</v>
      </c>
      <c r="AR6" s="55" t="s">
        <v>510</v>
      </c>
      <c r="AS6" s="55" t="s">
        <v>511</v>
      </c>
      <c r="AT6" s="55" t="s">
        <v>512</v>
      </c>
      <c r="AU6" s="55" t="s">
        <v>513</v>
      </c>
      <c r="AV6" s="55" t="s">
        <v>514</v>
      </c>
      <c r="AW6" s="55" t="s">
        <v>515</v>
      </c>
      <c r="AX6" s="55" t="s">
        <v>516</v>
      </c>
      <c r="AY6" s="55" t="s">
        <v>505</v>
      </c>
      <c r="AZ6" s="55" t="s">
        <v>506</v>
      </c>
      <c r="BA6" s="55" t="s">
        <v>507</v>
      </c>
      <c r="BB6" s="55" t="s">
        <v>508</v>
      </c>
      <c r="BC6" s="55" t="s">
        <v>509</v>
      </c>
      <c r="BD6" s="55" t="s">
        <v>510</v>
      </c>
      <c r="BE6" s="55" t="s">
        <v>511</v>
      </c>
      <c r="BF6" s="55" t="s">
        <v>512</v>
      </c>
      <c r="BG6" s="55" t="s">
        <v>513</v>
      </c>
      <c r="BH6" s="55" t="s">
        <v>514</v>
      </c>
      <c r="BI6" s="55" t="s">
        <v>515</v>
      </c>
      <c r="BJ6" s="55" t="s">
        <v>516</v>
      </c>
      <c r="BK6" s="55" t="s">
        <v>505</v>
      </c>
      <c r="BL6" s="55" t="s">
        <v>506</v>
      </c>
      <c r="BM6" s="55" t="s">
        <v>507</v>
      </c>
      <c r="BN6" s="55" t="s">
        <v>508</v>
      </c>
      <c r="BO6" s="55" t="s">
        <v>509</v>
      </c>
      <c r="BP6" s="55" t="s">
        <v>510</v>
      </c>
      <c r="BQ6" s="55" t="s">
        <v>511</v>
      </c>
      <c r="BR6" s="55" t="s">
        <v>512</v>
      </c>
      <c r="BS6" s="55" t="s">
        <v>513</v>
      </c>
      <c r="BT6" s="55" t="s">
        <v>514</v>
      </c>
      <c r="BU6" s="55" t="s">
        <v>515</v>
      </c>
      <c r="BV6" s="55" t="s">
        <v>516</v>
      </c>
      <c r="BW6" s="55" t="s">
        <v>505</v>
      </c>
      <c r="BX6" s="55" t="s">
        <v>506</v>
      </c>
      <c r="BY6" s="55" t="s">
        <v>507</v>
      </c>
      <c r="BZ6" s="55" t="s">
        <v>508</v>
      </c>
      <c r="CA6" s="55" t="s">
        <v>509</v>
      </c>
      <c r="CB6" s="55" t="s">
        <v>510</v>
      </c>
      <c r="CC6" s="55" t="s">
        <v>511</v>
      </c>
      <c r="CD6" s="55" t="s">
        <v>512</v>
      </c>
      <c r="CE6" s="55" t="s">
        <v>513</v>
      </c>
      <c r="CF6" s="55" t="s">
        <v>514</v>
      </c>
      <c r="CG6" s="55" t="s">
        <v>515</v>
      </c>
      <c r="CH6" s="55" t="s">
        <v>516</v>
      </c>
      <c r="CI6" s="55" t="s">
        <v>505</v>
      </c>
      <c r="CJ6" s="55" t="s">
        <v>506</v>
      </c>
      <c r="CK6" s="55" t="s">
        <v>507</v>
      </c>
      <c r="CL6" s="55" t="s">
        <v>508</v>
      </c>
      <c r="CM6" s="55" t="s">
        <v>509</v>
      </c>
      <c r="CN6" s="55" t="s">
        <v>510</v>
      </c>
      <c r="CO6" s="55" t="s">
        <v>511</v>
      </c>
      <c r="CP6" s="55" t="s">
        <v>512</v>
      </c>
      <c r="CQ6" s="55" t="s">
        <v>513</v>
      </c>
      <c r="CR6" s="55" t="s">
        <v>514</v>
      </c>
      <c r="CS6" s="55" t="s">
        <v>515</v>
      </c>
      <c r="CT6" s="55" t="s">
        <v>516</v>
      </c>
    </row>
    <row r="7" customFormat="false" ht="15" hidden="false" customHeight="true" outlineLevel="0" collapsed="false">
      <c r="B7" s="56" t="s">
        <v>587</v>
      </c>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c r="CS7" s="64"/>
      <c r="CT7" s="64"/>
    </row>
    <row r="8" customFormat="false" ht="15" hidden="false" customHeight="true" outlineLevel="0" collapsed="false">
      <c r="B8" s="19" t="s">
        <v>588</v>
      </c>
      <c r="C8" s="57" t="n">
        <f aca="false">Supuestos!$C$77</f>
        <v>4500000000</v>
      </c>
      <c r="D8" s="57" t="n">
        <f aca="false">C47</f>
        <v>15124155196.3779</v>
      </c>
      <c r="E8" s="57" t="n">
        <f aca="false">D47</f>
        <v>16692323182.5757</v>
      </c>
      <c r="F8" s="57" t="n">
        <f aca="false">E47</f>
        <v>23372109026.2879</v>
      </c>
      <c r="G8" s="57" t="n">
        <f aca="false">F47</f>
        <v>27641055243.2601</v>
      </c>
      <c r="H8" s="57" t="n">
        <f aca="false">G47</f>
        <v>26190705191.9098</v>
      </c>
      <c r="I8" s="57" t="n">
        <f aca="false">H47</f>
        <v>25169811648.0937</v>
      </c>
      <c r="J8" s="57" t="n">
        <f aca="false">I47</f>
        <v>27612137241.0278</v>
      </c>
      <c r="K8" s="57" t="n">
        <f aca="false">J47</f>
        <v>25785138704.4621</v>
      </c>
      <c r="L8" s="57" t="n">
        <f aca="false">K47</f>
        <v>27184559958.4501</v>
      </c>
      <c r="M8" s="57" t="n">
        <f aca="false">L47</f>
        <v>29120095069.5361</v>
      </c>
      <c r="N8" s="57" t="n">
        <f aca="false">M47</f>
        <v>26746245030.7533</v>
      </c>
      <c r="O8" s="57" t="n">
        <f aca="false">N47</f>
        <v>26261564006.6193</v>
      </c>
      <c r="P8" s="57" t="n">
        <f aca="false">O47</f>
        <v>33858225337.2506</v>
      </c>
      <c r="Q8" s="57" t="n">
        <f aca="false">P47</f>
        <v>35111612716.6818</v>
      </c>
      <c r="R8" s="57" t="n">
        <f aca="false">Q47</f>
        <v>41972526145.2121</v>
      </c>
      <c r="S8" s="57" t="n">
        <f aca="false">R47</f>
        <v>46497531471.9445</v>
      </c>
      <c r="T8" s="57" t="n">
        <f aca="false">S47</f>
        <v>45334116816.3211</v>
      </c>
      <c r="U8" s="57" t="n">
        <f aca="false">T47</f>
        <v>44636018019.8055</v>
      </c>
      <c r="V8" s="57" t="n">
        <f aca="false">U47</f>
        <v>47425944864.3036</v>
      </c>
      <c r="W8" s="57" t="n">
        <f aca="false">V47</f>
        <v>45938817214.2757</v>
      </c>
      <c r="X8" s="57" t="n">
        <f aca="false">W47</f>
        <v>47667655174.9034</v>
      </c>
      <c r="Y8" s="57" t="n">
        <f aca="false">X47</f>
        <v>49947801590.7893</v>
      </c>
      <c r="Z8" s="57" t="n">
        <f aca="false">Y47</f>
        <v>51656021287.9564</v>
      </c>
      <c r="AA8" s="57" t="n">
        <f aca="false">Z47</f>
        <v>51554786100.9616</v>
      </c>
      <c r="AB8" s="57" t="n">
        <f aca="false">AA47</f>
        <v>59579256738.477</v>
      </c>
      <c r="AC8" s="57" t="n">
        <f aca="false">AB47</f>
        <v>64929778129.085</v>
      </c>
      <c r="AD8" s="57" t="n">
        <f aca="false">AC47</f>
        <v>72157428283.1096</v>
      </c>
      <c r="AE8" s="57" t="n">
        <f aca="false">AD47</f>
        <v>77039931201.8403</v>
      </c>
      <c r="AF8" s="57" t="n">
        <f aca="false">AE47</f>
        <v>79974841949.577</v>
      </c>
      <c r="AG8" s="57" t="n">
        <f aca="false">AF47</f>
        <v>79637953547.5545</v>
      </c>
      <c r="AH8" s="57" t="n">
        <f aca="false">AG47</f>
        <v>82798824384.771</v>
      </c>
      <c r="AI8" s="57" t="n">
        <f aca="false">AH47</f>
        <v>85423461370.6243</v>
      </c>
      <c r="AJ8" s="57" t="n">
        <f aca="false">AI47</f>
        <v>87508048469.6662</v>
      </c>
      <c r="AK8" s="57" t="n">
        <f aca="false">AJ47</f>
        <v>90153724269.1958</v>
      </c>
      <c r="AL8" s="57" t="n">
        <f aca="false">AK47</f>
        <v>92218315080.0207</v>
      </c>
      <c r="AM8" s="57" t="n">
        <f aca="false">AL47</f>
        <v>92509052042.0829</v>
      </c>
      <c r="AN8" s="57" t="n">
        <f aca="false">AM47</f>
        <v>100742525612.701</v>
      </c>
      <c r="AO8" s="57" t="n">
        <f aca="false">AN47</f>
        <v>106324456047.896</v>
      </c>
      <c r="AP8" s="57" t="n">
        <f aca="false">AO47</f>
        <v>113796188794.789</v>
      </c>
      <c r="AQ8" s="57" t="n">
        <f aca="false">AP47</f>
        <v>118915300373.629</v>
      </c>
      <c r="AR8" s="57" t="n">
        <f aca="false">AQ47</f>
        <v>122079418416.736</v>
      </c>
      <c r="AS8" s="57" t="n">
        <f aca="false">AR47</f>
        <v>121979521032.846</v>
      </c>
      <c r="AT8" s="57" t="n">
        <f aca="false">AS47</f>
        <v>125385136610.212</v>
      </c>
      <c r="AU8" s="57" t="n">
        <f aca="false">AT47</f>
        <v>128247108418.924</v>
      </c>
      <c r="AV8" s="57" t="n">
        <f aca="false">AU47</f>
        <v>130561661313.061</v>
      </c>
      <c r="AW8" s="57" t="n">
        <f aca="false">AV47</f>
        <v>133445103128.449</v>
      </c>
      <c r="AX8" s="57" t="n">
        <f aca="false">AW47</f>
        <v>135740070398.787</v>
      </c>
      <c r="AY8" s="57" t="n">
        <f aca="false">AX47</f>
        <v>136290901878.281</v>
      </c>
      <c r="AZ8" s="57" t="n">
        <f aca="false">AY47</f>
        <v>144841965938.762</v>
      </c>
      <c r="BA8" s="57" t="n">
        <f aca="false">AZ47</f>
        <v>150708764390.939</v>
      </c>
      <c r="BB8" s="57" t="n">
        <f aca="false">BA47</f>
        <v>158478377267.954</v>
      </c>
      <c r="BC8" s="57" t="n">
        <f aca="false">BB47</f>
        <v>163887843641.461</v>
      </c>
      <c r="BD8" s="57" t="n">
        <f aca="false">BC47</f>
        <v>167334856934.126</v>
      </c>
      <c r="BE8" s="57" t="n">
        <f aca="false">BD47</f>
        <v>167525793332.48</v>
      </c>
      <c r="BF8" s="57" t="n">
        <f aca="false">BE47</f>
        <v>171230151169.886</v>
      </c>
      <c r="BG8" s="57" t="n">
        <f aca="false">BF47</f>
        <v>174383393708.314</v>
      </c>
      <c r="BH8" s="57" t="n">
        <f aca="false">BG47</f>
        <v>176981785093.682</v>
      </c>
      <c r="BI8" s="57" t="n">
        <f aca="false">BH47</f>
        <v>180157017990.695</v>
      </c>
      <c r="BJ8" s="57" t="n">
        <f aca="false">BI47</f>
        <v>182736323990.687</v>
      </c>
      <c r="BK8" s="57" t="n">
        <f aca="false">BJ47</f>
        <v>183601432475.869</v>
      </c>
      <c r="BL8" s="57" t="n">
        <f aca="false">BK47</f>
        <v>192529553986.391</v>
      </c>
      <c r="BM8" s="57" t="n">
        <f aca="false">BL47</f>
        <v>198693717837.588</v>
      </c>
      <c r="BN8" s="57" t="n">
        <f aca="false">BM47</f>
        <v>206774185219.587</v>
      </c>
      <c r="BO8" s="57" t="n">
        <f aca="false">BN47</f>
        <v>212486789125.649</v>
      </c>
      <c r="BP8" s="57" t="n">
        <f aca="false">BO47</f>
        <v>216229286654.715</v>
      </c>
      <c r="BQ8" s="57" t="n">
        <f aca="false">BP47</f>
        <v>216723860520.393</v>
      </c>
      <c r="BR8" s="57" t="n">
        <f aca="false">BQ47</f>
        <v>220739980255.218</v>
      </c>
      <c r="BS8" s="57" t="n">
        <f aca="false">BR47</f>
        <v>224197320242.636</v>
      </c>
      <c r="BT8" s="57" t="n">
        <f aca="false">BS47</f>
        <v>227092182464.692</v>
      </c>
      <c r="BU8" s="57" t="n">
        <f aca="false">BT47</f>
        <v>230572053193.445</v>
      </c>
      <c r="BV8" s="57" t="n">
        <f aca="false">BU47</f>
        <v>233448350908.605</v>
      </c>
      <c r="BW8" s="57" t="n">
        <f aca="false">BV47</f>
        <v>234640868155.991</v>
      </c>
      <c r="BX8" s="57" t="n">
        <f aca="false">BW47</f>
        <v>243960415520.979</v>
      </c>
      <c r="BY8" s="57" t="n">
        <f aca="false">BX47</f>
        <v>250434656191.445</v>
      </c>
      <c r="BZ8" s="57" t="n">
        <f aca="false">BY47</f>
        <v>258839170039.826</v>
      </c>
      <c r="CA8" s="57" t="n">
        <f aca="false">BZ47</f>
        <v>264867908677.089</v>
      </c>
      <c r="CB8" s="57" t="n">
        <f aca="false">CA47</f>
        <v>268918691035.605</v>
      </c>
      <c r="CC8" s="57" t="n">
        <f aca="false">CB47</f>
        <v>269729920513.291</v>
      </c>
      <c r="CD8" s="57" t="n">
        <f aca="false">CC47</f>
        <v>274071039139.477</v>
      </c>
      <c r="CE8" s="57" t="n">
        <f aca="false">CD47</f>
        <v>277845517998.291</v>
      </c>
      <c r="CF8" s="57" t="n">
        <f aca="false">CE47</f>
        <v>281049695487.537</v>
      </c>
      <c r="CG8" s="57" t="n">
        <f aca="false">CF47</f>
        <v>284847265855.118</v>
      </c>
      <c r="CH8" s="57" t="n">
        <f aca="false">CG47</f>
        <v>288033420711.048</v>
      </c>
      <c r="CI8" s="57" t="n">
        <f aca="false">CH47</f>
        <v>289566702659.284</v>
      </c>
      <c r="CJ8" s="57" t="n">
        <f aca="false">CI47</f>
        <v>299292292407.634</v>
      </c>
      <c r="CK8" s="57" t="n">
        <f aca="false">CJ47</f>
        <v>306089539493.749</v>
      </c>
      <c r="CL8" s="57" t="n">
        <f aca="false">CK47</f>
        <v>314831514641.739</v>
      </c>
      <c r="CM8" s="57" t="n">
        <f aca="false">CL47</f>
        <v>321189605356.961</v>
      </c>
      <c r="CN8" s="57" t="n">
        <f aca="false">CM47</f>
        <v>325561690594.309</v>
      </c>
      <c r="CO8" s="57" t="n">
        <f aca="false">CN47</f>
        <v>326702814343.2</v>
      </c>
      <c r="CP8" s="57" t="n">
        <f aca="false">CO47</f>
        <v>331382392411.961</v>
      </c>
      <c r="CQ8" s="57" t="n">
        <f aca="false">CP47</f>
        <v>335487272423.056</v>
      </c>
      <c r="CR8" s="57" t="n">
        <f aca="false">CQ47</f>
        <v>339013827789.471</v>
      </c>
      <c r="CS8" s="57" t="n">
        <f aca="false">CR47</f>
        <v>343142380847.317</v>
      </c>
      <c r="CT8" s="57" t="n">
        <f aca="false">CS47</f>
        <v>346651476825.284</v>
      </c>
    </row>
    <row r="9" customFormat="false" ht="15" hidden="false" customHeight="true" outlineLevel="0" collapsed="false">
      <c r="B9" s="19" t="s">
        <v>589</v>
      </c>
      <c r="C9" s="57" t="n">
        <f aca="false">Supuestos!$C$78</f>
        <v>2100000000</v>
      </c>
      <c r="D9" s="57" t="n">
        <f aca="false">C48</f>
        <v>1393719812.80083</v>
      </c>
      <c r="E9" s="57" t="n">
        <f aca="false">D48</f>
        <v>1029153949.20598</v>
      </c>
      <c r="F9" s="57" t="n">
        <f aca="false">E48</f>
        <v>862954322.061414</v>
      </c>
      <c r="G9" s="57" t="n">
        <f aca="false">F48</f>
        <v>775635103.324929</v>
      </c>
      <c r="H9" s="57" t="n">
        <f aca="false">G48</f>
        <v>727775789.140393</v>
      </c>
      <c r="I9" s="57" t="n">
        <f aca="false">H48</f>
        <v>708085237.560237</v>
      </c>
      <c r="J9" s="57" t="n">
        <f aca="false">I48</f>
        <v>702439666.586453</v>
      </c>
      <c r="K9" s="57" t="n">
        <f aca="false">J48</f>
        <v>695397475.935357</v>
      </c>
      <c r="L9" s="57" t="n">
        <f aca="false">K48</f>
        <v>687656975.445607</v>
      </c>
      <c r="M9" s="57" t="n">
        <f aca="false">L48</f>
        <v>688025830.712843</v>
      </c>
      <c r="N9" s="57" t="n">
        <f aca="false">M48</f>
        <v>683990853.182259</v>
      </c>
      <c r="O9" s="57" t="n">
        <f aca="false">N48</f>
        <v>675628696.011932</v>
      </c>
      <c r="P9" s="57" t="n">
        <f aca="false">O48</f>
        <v>676616552.997399</v>
      </c>
      <c r="Q9" s="57" t="n">
        <f aca="false">P48</f>
        <v>665689849.491713</v>
      </c>
      <c r="R9" s="57" t="n">
        <f aca="false">Q48</f>
        <v>676067569.248445</v>
      </c>
      <c r="S9" s="57" t="n">
        <f aca="false">R48</f>
        <v>677090333.587505</v>
      </c>
      <c r="T9" s="57" t="n">
        <f aca="false">S48</f>
        <v>673455320.56564</v>
      </c>
      <c r="U9" s="57" t="n">
        <f aca="false">T48</f>
        <v>675823609.941921</v>
      </c>
      <c r="V9" s="57" t="n">
        <f aca="false">U48</f>
        <v>681154149.821457</v>
      </c>
      <c r="W9" s="57" t="n">
        <f aca="false">V48</f>
        <v>679653324.221921</v>
      </c>
      <c r="X9" s="57" t="n">
        <f aca="false">W48</f>
        <v>674736815.882847</v>
      </c>
      <c r="Y9" s="57" t="n">
        <f aca="false">X48</f>
        <v>676464357.600524</v>
      </c>
      <c r="Z9" s="57" t="n">
        <f aca="false">Y48</f>
        <v>673162032.920058</v>
      </c>
      <c r="AA9" s="57" t="n">
        <f aca="false">Z48</f>
        <v>665345308.033831</v>
      </c>
      <c r="AB9" s="57" t="n">
        <f aca="false">AA48</f>
        <v>666486269.919434</v>
      </c>
      <c r="AC9" s="57" t="n">
        <f aca="false">AB48</f>
        <v>655674016.42869</v>
      </c>
      <c r="AD9" s="57" t="n">
        <f aca="false">AC48</f>
        <v>665864742.511999</v>
      </c>
      <c r="AE9" s="57" t="n">
        <f aca="false">AD48</f>
        <v>666849801.448598</v>
      </c>
      <c r="AF9" s="57" t="n">
        <f aca="false">AE48</f>
        <v>663251727.159751</v>
      </c>
      <c r="AG9" s="57" t="n">
        <f aca="false">AF48</f>
        <v>665582694.468292</v>
      </c>
      <c r="AH9" s="57" t="n">
        <f aca="false">AG48</f>
        <v>670838781.879709</v>
      </c>
      <c r="AI9" s="57" t="n">
        <f aca="false">AH48</f>
        <v>669356521.480362</v>
      </c>
      <c r="AJ9" s="57" t="n">
        <f aca="false">AI48</f>
        <v>664505087.175633</v>
      </c>
      <c r="AK9" s="57" t="n">
        <f aca="false">AJ48</f>
        <v>666209374.476233</v>
      </c>
      <c r="AL9" s="57" t="n">
        <f aca="false">AK48</f>
        <v>662951214.021478</v>
      </c>
      <c r="AM9" s="57" t="n">
        <f aca="false">AL48</f>
        <v>655320786.476339</v>
      </c>
      <c r="AN9" s="57" t="n">
        <f aca="false">AM48</f>
        <v>656515589.513478</v>
      </c>
      <c r="AO9" s="57" t="n">
        <f aca="false">AN48</f>
        <v>645781901.924526</v>
      </c>
      <c r="AP9" s="57" t="n">
        <f aca="false">AO48</f>
        <v>655769815.321921</v>
      </c>
      <c r="AQ9" s="57" t="n">
        <f aca="false">AP48</f>
        <v>656709654.168992</v>
      </c>
      <c r="AR9" s="57" t="n">
        <f aca="false">AQ48</f>
        <v>653145156.08881</v>
      </c>
      <c r="AS9" s="57" t="n">
        <f aca="false">AR48</f>
        <v>655436725.248255</v>
      </c>
      <c r="AT9" s="57" t="n">
        <f aca="false">AS48</f>
        <v>660616927.331694</v>
      </c>
      <c r="AU9" s="57" t="n">
        <f aca="false">AT48</f>
        <v>659152910.521788</v>
      </c>
      <c r="AV9" s="57" t="n">
        <f aca="false">AU48</f>
        <v>654366784.265208</v>
      </c>
      <c r="AW9" s="57" t="n">
        <f aca="false">AV48</f>
        <v>656047539.336453</v>
      </c>
      <c r="AX9" s="57" t="n">
        <f aca="false">AW48</f>
        <v>652833799.02045</v>
      </c>
      <c r="AY9" s="57" t="n">
        <f aca="false">AX48</f>
        <v>645381330.609282</v>
      </c>
      <c r="AZ9" s="57" t="n">
        <f aca="false">AY48</f>
        <v>646709397.412173</v>
      </c>
      <c r="BA9" s="57" t="n">
        <f aca="false">AZ48</f>
        <v>636090452.552196</v>
      </c>
      <c r="BB9" s="57" t="n">
        <f aca="false">BA48</f>
        <v>645899491.508246</v>
      </c>
      <c r="BC9" s="57" t="n">
        <f aca="false">BB48</f>
        <v>646804578.832551</v>
      </c>
      <c r="BD9" s="57" t="n">
        <f aca="false">BC48</f>
        <v>643277390.688893</v>
      </c>
      <c r="BE9" s="57" t="n">
        <f aca="false">BD48</f>
        <v>645532929.118693</v>
      </c>
      <c r="BF9" s="57" t="n">
        <f aca="false">BE48</f>
        <v>650640430.139403</v>
      </c>
      <c r="BG9" s="57" t="n">
        <f aca="false">BF48</f>
        <v>649194748.496039</v>
      </c>
      <c r="BH9" s="57" t="n">
        <f aca="false">BG48</f>
        <v>644472475.520637</v>
      </c>
      <c r="BI9" s="57" t="n">
        <f aca="false">BH48</f>
        <v>646130471.534565</v>
      </c>
      <c r="BJ9" s="57" t="n">
        <f aca="false">BI48</f>
        <v>642960037.387809</v>
      </c>
      <c r="BK9" s="57" t="n">
        <f aca="false">BJ48</f>
        <v>635682350.992592</v>
      </c>
      <c r="BL9" s="57" t="n">
        <f aca="false">BK48</f>
        <v>637147431.225915</v>
      </c>
      <c r="BM9" s="57" t="n">
        <f aca="false">BL48</f>
        <v>626640781.875712</v>
      </c>
      <c r="BN9" s="57" t="n">
        <f aca="false">BM48</f>
        <v>636275636.413681</v>
      </c>
      <c r="BO9" s="57" t="n">
        <f aca="false">BN48</f>
        <v>637146753.491442</v>
      </c>
      <c r="BP9" s="57" t="n">
        <f aca="false">BO48</f>
        <v>633655702.187009</v>
      </c>
      <c r="BQ9" s="57" t="n">
        <f aca="false">BP48</f>
        <v>635876187.073924</v>
      </c>
      <c r="BR9" s="57" t="n">
        <f aca="false">BQ48</f>
        <v>640913039.360696</v>
      </c>
      <c r="BS9" s="57" t="n">
        <f aca="false">BR48</f>
        <v>639485155.312859</v>
      </c>
      <c r="BT9" s="57" t="n">
        <f aca="false">BS48</f>
        <v>634824903.097717</v>
      </c>
      <c r="BU9" s="57" t="n">
        <f aca="false">BT48</f>
        <v>636460787.529278</v>
      </c>
      <c r="BV9" s="57" t="n">
        <f aca="false">BU48</f>
        <v>633332419.553836</v>
      </c>
      <c r="BW9" s="57" t="n">
        <f aca="false">BV48</f>
        <v>626226620.976723</v>
      </c>
      <c r="BX9" s="57" t="n">
        <f aca="false">BW48</f>
        <v>627828701.549282</v>
      </c>
      <c r="BY9" s="57" t="n">
        <f aca="false">BX48</f>
        <v>617430050.345988</v>
      </c>
      <c r="BZ9" s="57" t="n">
        <f aca="false">BY48</f>
        <v>626894369.704591</v>
      </c>
      <c r="CA9" s="57" t="n">
        <f aca="false">BZ48</f>
        <v>627731804.684055</v>
      </c>
      <c r="CB9" s="57" t="n">
        <f aca="false">CA48</f>
        <v>624275497.821858</v>
      </c>
      <c r="CC9" s="57" t="n">
        <f aca="false">CB48</f>
        <v>626461769.438507</v>
      </c>
      <c r="CD9" s="57" t="n">
        <f aca="false">CC48</f>
        <v>631429929.598759</v>
      </c>
      <c r="CE9" s="57" t="n">
        <f aca="false">CD48</f>
        <v>630019284.979048</v>
      </c>
      <c r="CF9" s="57" t="n">
        <f aca="false">CE48</f>
        <v>625419237.969355</v>
      </c>
      <c r="CG9" s="57" t="n">
        <f aca="false">CF48</f>
        <v>627033639.512255</v>
      </c>
      <c r="CH9" s="57" t="n">
        <f aca="false">CG48</f>
        <v>623946115.583867</v>
      </c>
      <c r="CI9" s="57" t="n">
        <f aca="false">CH48</f>
        <v>617009390.73125</v>
      </c>
      <c r="CJ9" s="57" t="n">
        <f aca="false">CI48</f>
        <v>618748516.325621</v>
      </c>
      <c r="CK9" s="57" t="n">
        <f aca="false">CJ48</f>
        <v>608453624.099905</v>
      </c>
      <c r="CL9" s="57" t="n">
        <f aca="false">CK48</f>
        <v>617750973.7189</v>
      </c>
      <c r="CM9" s="57" t="n">
        <f aca="false">CL48</f>
        <v>618554999.376439</v>
      </c>
      <c r="CN9" s="57" t="n">
        <f aca="false">CM48</f>
        <v>615132063.401159</v>
      </c>
      <c r="CO9" s="57" t="n">
        <f aca="false">CN48</f>
        <v>617284944.913386</v>
      </c>
      <c r="CP9" s="57" t="n">
        <f aca="false">CO48</f>
        <v>622186334.47355</v>
      </c>
      <c r="CQ9" s="57" t="n">
        <f aca="false">CP48</f>
        <v>620792380.101673</v>
      </c>
      <c r="CR9" s="57" t="n">
        <f aca="false">CQ48</f>
        <v>616250753.763776</v>
      </c>
      <c r="CS9" s="57" t="n">
        <f aca="false">CR48</f>
        <v>617844290.094695</v>
      </c>
      <c r="CT9" s="57" t="n">
        <f aca="false">CS48</f>
        <v>614796409.108196</v>
      </c>
    </row>
    <row r="10" customFormat="false" ht="15" hidden="false" customHeight="true" outlineLevel="0" collapsed="false">
      <c r="B10" s="19" t="s">
        <v>590</v>
      </c>
      <c r="C10" s="57" t="n">
        <f aca="false">0</f>
        <v>0</v>
      </c>
      <c r="D10" s="57" t="n">
        <f aca="false">C36</f>
        <v>2471232517.71484</v>
      </c>
      <c r="E10" s="57" t="n">
        <f aca="false">D36</f>
        <v>2487068237.83056</v>
      </c>
      <c r="F10" s="57" t="n">
        <f aca="false">E36</f>
        <v>2484177452.36304</v>
      </c>
      <c r="G10" s="57" t="n">
        <f aca="false">F36</f>
        <v>2512552706.94041</v>
      </c>
      <c r="H10" s="57" t="n">
        <f aca="false">G36</f>
        <v>2527006634.27797</v>
      </c>
      <c r="I10" s="57" t="n">
        <f aca="false">H36</f>
        <v>3562845345.44284</v>
      </c>
      <c r="J10" s="57" t="n">
        <f aca="false">I36</f>
        <v>2535678990.68051</v>
      </c>
      <c r="K10" s="57" t="n">
        <f aca="false">J36</f>
        <v>2535678990.68051</v>
      </c>
      <c r="L10" s="57" t="n">
        <f aca="false">K36</f>
        <v>2535678990.68051</v>
      </c>
      <c r="M10" s="57" t="n">
        <f aca="false">L36</f>
        <v>2535678990.68051</v>
      </c>
      <c r="N10" s="57" t="n">
        <f aca="false">M36</f>
        <v>2537225733.4609</v>
      </c>
      <c r="O10" s="57" t="n">
        <f aca="false">N36</f>
        <v>3564392088.22324</v>
      </c>
      <c r="P10" s="57" t="n">
        <f aca="false">O36</f>
        <v>2503233857.95076</v>
      </c>
      <c r="Q10" s="57" t="n">
        <f aca="false">P36</f>
        <v>2488559195.57344</v>
      </c>
      <c r="R10" s="57" t="n">
        <f aca="false">Q36</f>
        <v>2489940988.35159</v>
      </c>
      <c r="S10" s="57" t="n">
        <f aca="false">R36</f>
        <v>2518316242.92895</v>
      </c>
      <c r="T10" s="57" t="n">
        <f aca="false">S36</f>
        <v>2532770170.26652</v>
      </c>
      <c r="U10" s="57" t="n">
        <f aca="false">T36</f>
        <v>3568608881.43139</v>
      </c>
      <c r="V10" s="57" t="n">
        <f aca="false">U36</f>
        <v>2541442526.66906</v>
      </c>
      <c r="W10" s="57" t="n">
        <f aca="false">V36</f>
        <v>2541442526.66906</v>
      </c>
      <c r="X10" s="57" t="n">
        <f aca="false">W36</f>
        <v>2541442526.66906</v>
      </c>
      <c r="Y10" s="57" t="n">
        <f aca="false">X36</f>
        <v>2541442526.66906</v>
      </c>
      <c r="Z10" s="57" t="n">
        <f aca="false">Y36</f>
        <v>2542989269.44945</v>
      </c>
      <c r="AA10" s="57" t="n">
        <f aca="false">Z36</f>
        <v>3570155624.21178</v>
      </c>
      <c r="AB10" s="57" t="n">
        <f aca="false">AA36</f>
        <v>2508997393.93931</v>
      </c>
      <c r="AC10" s="57" t="n">
        <f aca="false">AB36</f>
        <v>2493827566.24188</v>
      </c>
      <c r="AD10" s="57" t="n">
        <f aca="false">AC36</f>
        <v>2495209359.02003</v>
      </c>
      <c r="AE10" s="57" t="n">
        <f aca="false">AD36</f>
        <v>2523584613.59739</v>
      </c>
      <c r="AF10" s="57" t="n">
        <f aca="false">AE36</f>
        <v>2538038540.93496</v>
      </c>
      <c r="AG10" s="57" t="n">
        <f aca="false">AF36</f>
        <v>3573877252.09983</v>
      </c>
      <c r="AH10" s="57" t="n">
        <f aca="false">AG36</f>
        <v>2546710897.33749</v>
      </c>
      <c r="AI10" s="57" t="n">
        <f aca="false">AH36</f>
        <v>2546710897.33749</v>
      </c>
      <c r="AJ10" s="57" t="n">
        <f aca="false">AI36</f>
        <v>2546710897.33749</v>
      </c>
      <c r="AK10" s="57" t="n">
        <f aca="false">AJ36</f>
        <v>2546710897.33749</v>
      </c>
      <c r="AL10" s="57" t="n">
        <f aca="false">AK36</f>
        <v>2548257640.11789</v>
      </c>
      <c r="AM10" s="57" t="n">
        <f aca="false">AL36</f>
        <v>3575423994.88022</v>
      </c>
      <c r="AN10" s="57" t="n">
        <f aca="false">AM36</f>
        <v>2514265764.60774</v>
      </c>
      <c r="AO10" s="57" t="n">
        <f aca="false">AN36</f>
        <v>2495473531.44948</v>
      </c>
      <c r="AP10" s="57" t="n">
        <f aca="false">AO36</f>
        <v>2496855324.22763</v>
      </c>
      <c r="AQ10" s="57" t="n">
        <f aca="false">AP36</f>
        <v>2525230578.80499</v>
      </c>
      <c r="AR10" s="57" t="n">
        <f aca="false">AQ36</f>
        <v>2539684506.14255</v>
      </c>
      <c r="AS10" s="57" t="n">
        <f aca="false">AR36</f>
        <v>3575523217.30743</v>
      </c>
      <c r="AT10" s="57" t="n">
        <f aca="false">AS36</f>
        <v>2548356862.54509</v>
      </c>
      <c r="AU10" s="57" t="n">
        <f aca="false">AT36</f>
        <v>2548356862.54509</v>
      </c>
      <c r="AV10" s="57" t="n">
        <f aca="false">AU36</f>
        <v>2548356862.54509</v>
      </c>
      <c r="AW10" s="57" t="n">
        <f aca="false">AV36</f>
        <v>2548356862.54509</v>
      </c>
      <c r="AX10" s="57" t="n">
        <f aca="false">AW36</f>
        <v>2549903605.32549</v>
      </c>
      <c r="AY10" s="57" t="n">
        <f aca="false">AX36</f>
        <v>3577069960.08782</v>
      </c>
      <c r="AZ10" s="57" t="n">
        <f aca="false">AY36</f>
        <v>2515911729.81534</v>
      </c>
      <c r="BA10" s="57" t="n">
        <f aca="false">AZ36</f>
        <v>2495473531.44948</v>
      </c>
      <c r="BB10" s="57" t="n">
        <f aca="false">BA36</f>
        <v>2496855324.22763</v>
      </c>
      <c r="BC10" s="57" t="n">
        <f aca="false">BB36</f>
        <v>2525230578.80499</v>
      </c>
      <c r="BD10" s="57" t="n">
        <f aca="false">BC36</f>
        <v>2539684506.14255</v>
      </c>
      <c r="BE10" s="57" t="n">
        <f aca="false">BD36</f>
        <v>3575523217.30743</v>
      </c>
      <c r="BF10" s="57" t="n">
        <f aca="false">BE36</f>
        <v>2548356862.54509</v>
      </c>
      <c r="BG10" s="57" t="n">
        <f aca="false">BF36</f>
        <v>2548356862.54509</v>
      </c>
      <c r="BH10" s="57" t="n">
        <f aca="false">BG36</f>
        <v>2548356862.54509</v>
      </c>
      <c r="BI10" s="57" t="n">
        <f aca="false">BH36</f>
        <v>2548356862.54509</v>
      </c>
      <c r="BJ10" s="57" t="n">
        <f aca="false">BI36</f>
        <v>2549903605.32549</v>
      </c>
      <c r="BK10" s="57" t="n">
        <f aca="false">BJ36</f>
        <v>3577069960.08782</v>
      </c>
      <c r="BL10" s="57" t="n">
        <f aca="false">BK36</f>
        <v>2515911729.81534</v>
      </c>
      <c r="BM10" s="57" t="n">
        <f aca="false">BL36</f>
        <v>2495473531.44948</v>
      </c>
      <c r="BN10" s="57" t="n">
        <f aca="false">BM36</f>
        <v>2496855324.22763</v>
      </c>
      <c r="BO10" s="57" t="n">
        <f aca="false">BN36</f>
        <v>2525230578.80499</v>
      </c>
      <c r="BP10" s="57" t="n">
        <f aca="false">BO36</f>
        <v>2539684506.14255</v>
      </c>
      <c r="BQ10" s="57" t="n">
        <f aca="false">BP36</f>
        <v>3575523217.30743</v>
      </c>
      <c r="BR10" s="57" t="n">
        <f aca="false">BQ36</f>
        <v>2548356862.54509</v>
      </c>
      <c r="BS10" s="57" t="n">
        <f aca="false">BR36</f>
        <v>2548356862.54509</v>
      </c>
      <c r="BT10" s="57" t="n">
        <f aca="false">BS36</f>
        <v>2548356862.54509</v>
      </c>
      <c r="BU10" s="57" t="n">
        <f aca="false">BT36</f>
        <v>2548356862.54509</v>
      </c>
      <c r="BV10" s="57" t="n">
        <f aca="false">BU36</f>
        <v>2549903605.32549</v>
      </c>
      <c r="BW10" s="57" t="n">
        <f aca="false">BV36</f>
        <v>3577069960.08782</v>
      </c>
      <c r="BX10" s="57" t="n">
        <f aca="false">BW36</f>
        <v>2515911729.81534</v>
      </c>
      <c r="BY10" s="57" t="n">
        <f aca="false">BX36</f>
        <v>2495473531.44948</v>
      </c>
      <c r="BZ10" s="57" t="n">
        <f aca="false">BY36</f>
        <v>2496855324.22763</v>
      </c>
      <c r="CA10" s="57" t="n">
        <f aca="false">BZ36</f>
        <v>2525230578.80499</v>
      </c>
      <c r="CB10" s="57" t="n">
        <f aca="false">CA36</f>
        <v>2539684506.14255</v>
      </c>
      <c r="CC10" s="57" t="n">
        <f aca="false">CB36</f>
        <v>3575523217.30743</v>
      </c>
      <c r="CD10" s="57" t="n">
        <f aca="false">CC36</f>
        <v>2548356862.54509</v>
      </c>
      <c r="CE10" s="57" t="n">
        <f aca="false">CD36</f>
        <v>2548356862.54509</v>
      </c>
      <c r="CF10" s="57" t="n">
        <f aca="false">CE36</f>
        <v>2548356862.54509</v>
      </c>
      <c r="CG10" s="57" t="n">
        <f aca="false">CF36</f>
        <v>2548356862.54509</v>
      </c>
      <c r="CH10" s="57" t="n">
        <f aca="false">CG36</f>
        <v>2549903605.32549</v>
      </c>
      <c r="CI10" s="57" t="n">
        <f aca="false">CH36</f>
        <v>3577069960.08782</v>
      </c>
      <c r="CJ10" s="57" t="n">
        <f aca="false">CI36</f>
        <v>2515911729.81534</v>
      </c>
      <c r="CK10" s="57" t="n">
        <f aca="false">CJ36</f>
        <v>2495473531.44948</v>
      </c>
      <c r="CL10" s="57" t="n">
        <f aca="false">CK36</f>
        <v>2496855324.22763</v>
      </c>
      <c r="CM10" s="57" t="n">
        <f aca="false">CL36</f>
        <v>2525230578.80499</v>
      </c>
      <c r="CN10" s="57" t="n">
        <f aca="false">CM36</f>
        <v>2539684506.14255</v>
      </c>
      <c r="CO10" s="57" t="n">
        <f aca="false">CN36</f>
        <v>3575523217.30743</v>
      </c>
      <c r="CP10" s="57" t="n">
        <f aca="false">CO36</f>
        <v>2548356862.54509</v>
      </c>
      <c r="CQ10" s="57" t="n">
        <f aca="false">CP36</f>
        <v>2548356862.54509</v>
      </c>
      <c r="CR10" s="57" t="n">
        <f aca="false">CQ36</f>
        <v>2548356862.54509</v>
      </c>
      <c r="CS10" s="57" t="n">
        <f aca="false">CR36</f>
        <v>2548356862.54509</v>
      </c>
      <c r="CT10" s="57" t="n">
        <f aca="false">CS36</f>
        <v>2549903605.32549</v>
      </c>
    </row>
    <row r="11" customFormat="false" ht="15" hidden="false" customHeight="true" outlineLevel="0" collapsed="false">
      <c r="B11" s="46" t="s">
        <v>591</v>
      </c>
      <c r="C11" s="58" t="n">
        <f aca="false">C8+C9+C10</f>
        <v>6600000000</v>
      </c>
      <c r="D11" s="58" t="n">
        <f aca="false">D8+D9+D10</f>
        <v>18989107526.8936</v>
      </c>
      <c r="E11" s="58" t="n">
        <f aca="false">E8+E9+E10</f>
        <v>20208545369.6122</v>
      </c>
      <c r="F11" s="58" t="n">
        <f aca="false">F8+F9+F10</f>
        <v>26719240800.7124</v>
      </c>
      <c r="G11" s="58" t="n">
        <f aca="false">G8+G9+G10</f>
        <v>30929243053.5254</v>
      </c>
      <c r="H11" s="58" t="n">
        <f aca="false">H8+H9+H10</f>
        <v>29445487615.3282</v>
      </c>
      <c r="I11" s="58" t="n">
        <f aca="false">I8+I9+I10</f>
        <v>29440742231.0968</v>
      </c>
      <c r="J11" s="58" t="n">
        <f aca="false">J8+J9+J10</f>
        <v>30850255898.2948</v>
      </c>
      <c r="K11" s="58" t="n">
        <f aca="false">K8+K9+K10</f>
        <v>29016215171.078</v>
      </c>
      <c r="L11" s="58" t="n">
        <f aca="false">L8+L9+L10</f>
        <v>30407895924.5762</v>
      </c>
      <c r="M11" s="58" t="n">
        <f aca="false">M8+M9+M10</f>
        <v>32343799890.9295</v>
      </c>
      <c r="N11" s="58" t="n">
        <f aca="false">N8+N9+N10</f>
        <v>29967461617.3965</v>
      </c>
      <c r="O11" s="58" t="n">
        <f aca="false">O8+O9+O10</f>
        <v>30501584790.8545</v>
      </c>
      <c r="P11" s="58" t="n">
        <f aca="false">P8+P9+P10</f>
        <v>37038075748.1988</v>
      </c>
      <c r="Q11" s="58" t="n">
        <f aca="false">Q8+Q9+Q10</f>
        <v>38265861761.747</v>
      </c>
      <c r="R11" s="58" t="n">
        <f aca="false">R8+R9+R10</f>
        <v>45138534702.8122</v>
      </c>
      <c r="S11" s="58" t="n">
        <f aca="false">S8+S9+S10</f>
        <v>49692938048.4609</v>
      </c>
      <c r="T11" s="58" t="n">
        <f aca="false">T8+T9+T10</f>
        <v>48540342307.1532</v>
      </c>
      <c r="U11" s="58" t="n">
        <f aca="false">U8+U9+U10</f>
        <v>48880450511.1788</v>
      </c>
      <c r="V11" s="58" t="n">
        <f aca="false">V8+V9+V10</f>
        <v>50648541540.7941</v>
      </c>
      <c r="W11" s="58" t="n">
        <f aca="false">W8+W9+W10</f>
        <v>49159913065.1667</v>
      </c>
      <c r="X11" s="58" t="n">
        <f aca="false">X8+X9+X10</f>
        <v>50883834517.4553</v>
      </c>
      <c r="Y11" s="58" t="n">
        <f aca="false">Y8+Y9+Y10</f>
        <v>53165708475.0589</v>
      </c>
      <c r="Z11" s="58" t="n">
        <f aca="false">Z8+Z9+Z10</f>
        <v>54872172590.3259</v>
      </c>
      <c r="AA11" s="58" t="n">
        <f aca="false">AA8+AA9+AA10</f>
        <v>55790287033.2072</v>
      </c>
      <c r="AB11" s="58" t="n">
        <f aca="false">AB8+AB9+AB10</f>
        <v>62754740402.3358</v>
      </c>
      <c r="AC11" s="58" t="n">
        <f aca="false">AC8+AC9+AC10</f>
        <v>68079279711.7556</v>
      </c>
      <c r="AD11" s="58" t="n">
        <f aca="false">AD8+AD9+AD10</f>
        <v>75318502384.6416</v>
      </c>
      <c r="AE11" s="58" t="n">
        <f aca="false">AE8+AE9+AE10</f>
        <v>80230365616.8863</v>
      </c>
      <c r="AF11" s="58" t="n">
        <f aca="false">AF8+AF9+AF10</f>
        <v>83176132217.6717</v>
      </c>
      <c r="AG11" s="58" t="n">
        <f aca="false">AG8+AG9+AG10</f>
        <v>83877413494.1227</v>
      </c>
      <c r="AH11" s="58" t="n">
        <f aca="false">AH8+AH9+AH10</f>
        <v>86016374063.9883</v>
      </c>
      <c r="AI11" s="58" t="n">
        <f aca="false">AI8+AI9+AI10</f>
        <v>88639528789.4422</v>
      </c>
      <c r="AJ11" s="58" t="n">
        <f aca="false">AJ8+AJ9+AJ10</f>
        <v>90719264454.1793</v>
      </c>
      <c r="AK11" s="58" t="n">
        <f aca="false">AK8+AK9+AK10</f>
        <v>93366644541.0095</v>
      </c>
      <c r="AL11" s="58" t="n">
        <f aca="false">AL8+AL9+AL10</f>
        <v>95429523934.1601</v>
      </c>
      <c r="AM11" s="58" t="n">
        <f aca="false">AM8+AM9+AM10</f>
        <v>96739796823.4395</v>
      </c>
      <c r="AN11" s="58" t="n">
        <f aca="false">AN8+AN9+AN10</f>
        <v>103913306966.822</v>
      </c>
      <c r="AO11" s="58" t="n">
        <f aca="false">AO8+AO9+AO10</f>
        <v>109465711481.27</v>
      </c>
      <c r="AP11" s="58" t="n">
        <f aca="false">AP8+AP9+AP10</f>
        <v>116948813934.339</v>
      </c>
      <c r="AQ11" s="58" t="n">
        <f aca="false">AQ8+AQ9+AQ10</f>
        <v>122097240606.603</v>
      </c>
      <c r="AR11" s="58" t="n">
        <f aca="false">AR8+AR9+AR10</f>
        <v>125272248078.968</v>
      </c>
      <c r="AS11" s="58" t="n">
        <f aca="false">AS8+AS9+AS10</f>
        <v>126210480975.401</v>
      </c>
      <c r="AT11" s="58" t="n">
        <f aca="false">AT8+AT9+AT10</f>
        <v>128594110400.089</v>
      </c>
      <c r="AU11" s="58" t="n">
        <f aca="false">AU8+AU9+AU10</f>
        <v>131454618191.991</v>
      </c>
      <c r="AV11" s="58" t="n">
        <f aca="false">AV8+AV9+AV10</f>
        <v>133764384959.871</v>
      </c>
      <c r="AW11" s="58" t="n">
        <f aca="false">AW8+AW9+AW10</f>
        <v>136649507530.331</v>
      </c>
      <c r="AX11" s="58" t="n">
        <f aca="false">AX8+AX9+AX10</f>
        <v>138942807803.133</v>
      </c>
      <c r="AY11" s="58" t="n">
        <f aca="false">AY8+AY9+AY10</f>
        <v>140513353168.978</v>
      </c>
      <c r="AZ11" s="58" t="n">
        <f aca="false">AZ8+AZ9+AZ10</f>
        <v>148004587065.99</v>
      </c>
      <c r="BA11" s="58" t="n">
        <f aca="false">BA8+BA9+BA10</f>
        <v>153840328374.94</v>
      </c>
      <c r="BB11" s="58" t="n">
        <f aca="false">BB8+BB9+BB10</f>
        <v>161621132083.69</v>
      </c>
      <c r="BC11" s="58" t="n">
        <f aca="false">BC8+BC9+BC10</f>
        <v>167059878799.099</v>
      </c>
      <c r="BD11" s="58" t="n">
        <f aca="false">BD8+BD9+BD10</f>
        <v>170517818830.958</v>
      </c>
      <c r="BE11" s="58" t="n">
        <f aca="false">BE8+BE9+BE10</f>
        <v>171746849478.906</v>
      </c>
      <c r="BF11" s="58" t="n">
        <f aca="false">BF8+BF9+BF10</f>
        <v>174429148462.571</v>
      </c>
      <c r="BG11" s="58" t="n">
        <f aca="false">BG8+BG9+BG10</f>
        <v>177580945319.355</v>
      </c>
      <c r="BH11" s="58" t="n">
        <f aca="false">BH8+BH9+BH10</f>
        <v>180174614431.748</v>
      </c>
      <c r="BI11" s="58" t="n">
        <f aca="false">BI8+BI9+BI10</f>
        <v>183351505324.775</v>
      </c>
      <c r="BJ11" s="58" t="n">
        <f aca="false">BJ8+BJ9+BJ10</f>
        <v>185929187633.401</v>
      </c>
      <c r="BK11" s="58" t="n">
        <f aca="false">BK8+BK9+BK10</f>
        <v>187814184786.949</v>
      </c>
      <c r="BL11" s="58" t="n">
        <f aca="false">BL8+BL9+BL10</f>
        <v>195682613147.432</v>
      </c>
      <c r="BM11" s="58" t="n">
        <f aca="false">BM8+BM9+BM10</f>
        <v>201815832150.913</v>
      </c>
      <c r="BN11" s="58" t="n">
        <f aca="false">BN8+BN9+BN10</f>
        <v>209907316180.229</v>
      </c>
      <c r="BO11" s="58" t="n">
        <f aca="false">BO8+BO9+BO10</f>
        <v>215649166457.945</v>
      </c>
      <c r="BP11" s="58" t="n">
        <f aca="false">BP8+BP9+BP10</f>
        <v>219402626863.044</v>
      </c>
      <c r="BQ11" s="58" t="n">
        <f aca="false">BQ8+BQ9+BQ10</f>
        <v>220935259924.774</v>
      </c>
      <c r="BR11" s="58" t="n">
        <f aca="false">BR8+BR9+BR10</f>
        <v>223929250157.124</v>
      </c>
      <c r="BS11" s="58" t="n">
        <f aca="false">BS8+BS9+BS10</f>
        <v>227385162260.494</v>
      </c>
      <c r="BT11" s="58" t="n">
        <f aca="false">BT8+BT9+BT10</f>
        <v>230275364230.335</v>
      </c>
      <c r="BU11" s="58" t="n">
        <f aca="false">BU8+BU9+BU10</f>
        <v>233756870843.52</v>
      </c>
      <c r="BV11" s="58" t="n">
        <f aca="false">BV8+BV9+BV10</f>
        <v>236631586933.484</v>
      </c>
      <c r="BW11" s="58" t="n">
        <f aca="false">BW8+BW9+BW10</f>
        <v>238844164737.056</v>
      </c>
      <c r="BX11" s="58" t="n">
        <f aca="false">BX8+BX9+BX10</f>
        <v>247104155952.343</v>
      </c>
      <c r="BY11" s="58" t="n">
        <f aca="false">BY8+BY9+BY10</f>
        <v>253547559773.24</v>
      </c>
      <c r="BZ11" s="58" t="n">
        <f aca="false">BZ8+BZ9+BZ10</f>
        <v>261962919733.758</v>
      </c>
      <c r="CA11" s="58" t="n">
        <f aca="false">CA8+CA9+CA10</f>
        <v>268020871060.578</v>
      </c>
      <c r="CB11" s="58" t="n">
        <f aca="false">CB8+CB9+CB10</f>
        <v>272082651039.57</v>
      </c>
      <c r="CC11" s="58" t="n">
        <f aca="false">CC8+CC9+CC10</f>
        <v>273931905500.037</v>
      </c>
      <c r="CD11" s="58" t="n">
        <f aca="false">CD8+CD9+CD10</f>
        <v>277250825931.621</v>
      </c>
      <c r="CE11" s="58" t="n">
        <f aca="false">CE8+CE9+CE10</f>
        <v>281023894145.815</v>
      </c>
      <c r="CF11" s="58" t="n">
        <f aca="false">CF8+CF9+CF10</f>
        <v>284223471588.052</v>
      </c>
      <c r="CG11" s="58" t="n">
        <f aca="false">CG8+CG9+CG10</f>
        <v>288022656357.175</v>
      </c>
      <c r="CH11" s="58" t="n">
        <f aca="false">CH8+CH9+CH10</f>
        <v>291207270431.957</v>
      </c>
      <c r="CI11" s="58" t="n">
        <f aca="false">CI8+CI9+CI10</f>
        <v>293760782010.103</v>
      </c>
      <c r="CJ11" s="58" t="n">
        <f aca="false">CJ8+CJ9+CJ10</f>
        <v>302426952653.775</v>
      </c>
      <c r="CK11" s="58" t="n">
        <f aca="false">CK8+CK9+CK10</f>
        <v>309193466649.298</v>
      </c>
      <c r="CL11" s="58" t="n">
        <f aca="false">CL8+CL9+CL10</f>
        <v>317946120939.685</v>
      </c>
      <c r="CM11" s="58" t="n">
        <f aca="false">CM8+CM9+CM10</f>
        <v>324333390935.142</v>
      </c>
      <c r="CN11" s="58" t="n">
        <f aca="false">CN8+CN9+CN10</f>
        <v>328716507163.853</v>
      </c>
      <c r="CO11" s="58" t="n">
        <f aca="false">CO8+CO9+CO10</f>
        <v>330895622505.421</v>
      </c>
      <c r="CP11" s="58" t="n">
        <f aca="false">CP8+CP9+CP10</f>
        <v>334552935608.98</v>
      </c>
      <c r="CQ11" s="58" t="n">
        <f aca="false">CQ8+CQ9+CQ10</f>
        <v>338656421665.703</v>
      </c>
      <c r="CR11" s="58" t="n">
        <f aca="false">CR8+CR9+CR10</f>
        <v>342178435405.78</v>
      </c>
      <c r="CS11" s="58" t="n">
        <f aca="false">CS8+CS9+CS10</f>
        <v>346308581999.956</v>
      </c>
      <c r="CT11" s="58" t="n">
        <f aca="false">CT8+CT9+CT10</f>
        <v>349816176839.718</v>
      </c>
    </row>
    <row r="13" customFormat="false" ht="15" hidden="false" customHeight="true" outlineLevel="0" collapsed="false">
      <c r="B13" s="56" t="s">
        <v>592</v>
      </c>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row>
    <row r="14" customFormat="false" ht="15" hidden="false" customHeight="true" outlineLevel="0" collapsed="false">
      <c r="B14" s="19" t="s">
        <v>593</v>
      </c>
      <c r="C14" s="57" t="n">
        <f aca="false">(Recursos!C8+Recursos!C9+Recursos!C16)*Supuestos!$C$74</f>
        <v>21605711308.8138</v>
      </c>
      <c r="D14" s="57" t="n">
        <f aca="false">(Recursos!D8+Recursos!D9+Recursos!D16)*Supuestos!$C$74</f>
        <v>17655922952.6529</v>
      </c>
      <c r="E14" s="57" t="n">
        <f aca="false">(Recursos!E8+Recursos!E9+Recursos!E16)*Supuestos!$C$74</f>
        <v>18594438520.2956</v>
      </c>
      <c r="F14" s="57" t="n">
        <f aca="false">(Recursos!F8+Recursos!F9+Recursos!F16)*Supuestos!$C$74</f>
        <v>18155573147.3888</v>
      </c>
      <c r="G14" s="57" t="n">
        <f aca="false">(Recursos!G8+Recursos!G9+Recursos!G16)*Supuestos!$C$74</f>
        <v>17736969381.7584</v>
      </c>
      <c r="H14" s="57" t="n">
        <f aca="false">(Recursos!H8+Recursos!H9+Recursos!H16)*Supuestos!$C$74</f>
        <v>18196096361.9415</v>
      </c>
      <c r="I14" s="57" t="n">
        <f aca="false">(Recursos!I8+Recursos!I9+Recursos!I16)*Supuestos!$C$74</f>
        <v>18614700127.5719</v>
      </c>
      <c r="J14" s="57" t="n">
        <f aca="false">(Recursos!J8+Recursos!J9+Recursos!J16)*Supuestos!$C$74</f>
        <v>18175834754.6652</v>
      </c>
      <c r="K14" s="57" t="n">
        <f aca="false">(Recursos!K8+Recursos!K9+Recursos!K16)*Supuestos!$C$74</f>
        <v>17736969381.7584</v>
      </c>
      <c r="L14" s="57" t="n">
        <f aca="false">(Recursos!L8+Recursos!L9+Recursos!L16)*Supuestos!$C$74</f>
        <v>18196096361.9415</v>
      </c>
      <c r="M14" s="57" t="n">
        <f aca="false">(Recursos!M8+Recursos!M9+Recursos!M16)*Supuestos!$C$74</f>
        <v>17757230989.0348</v>
      </c>
      <c r="N14" s="57" t="n">
        <f aca="false">(Recursos!N8+Recursos!N9+Recursos!N16)*Supuestos!$C$74</f>
        <v>19033303893.2023</v>
      </c>
      <c r="O14" s="57" t="n">
        <f aca="false">(Recursos!O8+Recursos!O9+Recursos!O16)*Supuestos!$C$74</f>
        <v>22336318357.8759</v>
      </c>
      <c r="P14" s="57" t="n">
        <f aca="false">(Recursos!P8+Recursos!P9+Recursos!P16)*Supuestos!$C$74</f>
        <v>18252336870.2545</v>
      </c>
      <c r="Q14" s="57" t="n">
        <f aca="false">(Recursos!Q8+Recursos!Q9+Recursos!Q16)*Supuestos!$C$74</f>
        <v>19220673133.7773</v>
      </c>
      <c r="R14" s="57" t="n">
        <f aca="false">(Recursos!R8+Recursos!R9+Recursos!R16)*Supuestos!$C$74</f>
        <v>18766897412.9305</v>
      </c>
      <c r="S14" s="57" t="n">
        <f aca="false">(Recursos!S8+Recursos!S9+Recursos!S16)*Supuestos!$C$74</f>
        <v>18333383299.3601</v>
      </c>
      <c r="T14" s="57" t="n">
        <f aca="false">(Recursos!T8+Recursos!T9+Recursos!T16)*Supuestos!$C$74</f>
        <v>18807420627.4833</v>
      </c>
      <c r="U14" s="57" t="n">
        <f aca="false">(Recursos!U8+Recursos!U9+Recursos!U16)*Supuestos!$C$74</f>
        <v>19240934741.0537</v>
      </c>
      <c r="V14" s="57" t="n">
        <f aca="false">(Recursos!V8+Recursos!V9+Recursos!V16)*Supuestos!$C$74</f>
        <v>18787159020.2069</v>
      </c>
      <c r="W14" s="57" t="n">
        <f aca="false">(Recursos!W8+Recursos!W9+Recursos!W16)*Supuestos!$C$74</f>
        <v>18333383299.3601</v>
      </c>
      <c r="X14" s="57" t="n">
        <f aca="false">(Recursos!X8+Recursos!X9+Recursos!X16)*Supuestos!$C$74</f>
        <v>18807420627.4833</v>
      </c>
      <c r="Y14" s="57" t="n">
        <f aca="false">(Recursos!Y8+Recursos!Y9+Recursos!Y16)*Supuestos!$C$74</f>
        <v>18353644906.6364</v>
      </c>
      <c r="Z14" s="57" t="n">
        <f aca="false">(Recursos!Z8+Recursos!Z9+Recursos!Z16)*Supuestos!$C$74</f>
        <v>19674448854.6241</v>
      </c>
      <c r="AA14" s="57" t="n">
        <f aca="false">(Recursos!AA8+Recursos!AA9+Recursos!AA16)*Supuestos!$C$74</f>
        <v>22866810450.5637</v>
      </c>
      <c r="AB14" s="57" t="n">
        <f aca="false">(Recursos!AB8+Recursos!AB9+Recursos!AB16)*Supuestos!$C$74</f>
        <v>18685391639.7956</v>
      </c>
      <c r="AC14" s="57" t="n">
        <f aca="false">(Recursos!AC8+Recursos!AC9+Recursos!AC16)*Supuestos!$C$74</f>
        <v>19675380641.7954</v>
      </c>
      <c r="AD14" s="57" t="n">
        <f aca="false">(Recursos!AD8+Recursos!AD9+Recursos!AD16)*Supuestos!$C$74</f>
        <v>19210778551.7101</v>
      </c>
      <c r="AE14" s="57" t="n">
        <f aca="false">(Recursos!AE8+Recursos!AE9+Recursos!AE16)*Supuestos!$C$74</f>
        <v>18766438068.9011</v>
      </c>
      <c r="AF14" s="57" t="n">
        <f aca="false">(Recursos!AF8+Recursos!AF9+Recursos!AF16)*Supuestos!$C$74</f>
        <v>19251301766.2628</v>
      </c>
      <c r="AG14" s="57" t="n">
        <f aca="false">(Recursos!AG8+Recursos!AG9+Recursos!AG16)*Supuestos!$C$74</f>
        <v>19695642249.0718</v>
      </c>
      <c r="AH14" s="57" t="n">
        <f aca="false">(Recursos!AH8+Recursos!AH9+Recursos!AH16)*Supuestos!$C$74</f>
        <v>19231040158.9865</v>
      </c>
      <c r="AI14" s="57" t="n">
        <f aca="false">(Recursos!AI8+Recursos!AI9+Recursos!AI16)*Supuestos!$C$74</f>
        <v>18766438068.9011</v>
      </c>
      <c r="AJ14" s="57" t="n">
        <f aca="false">(Recursos!AJ8+Recursos!AJ9+Recursos!AJ16)*Supuestos!$C$74</f>
        <v>19251301766.2628</v>
      </c>
      <c r="AK14" s="57" t="n">
        <f aca="false">(Recursos!AK8+Recursos!AK9+Recursos!AK16)*Supuestos!$C$74</f>
        <v>18786699676.1775</v>
      </c>
      <c r="AL14" s="57" t="n">
        <f aca="false">(Recursos!AL8+Recursos!AL9+Recursos!AL16)*Supuestos!$C$74</f>
        <v>20139982731.8808</v>
      </c>
      <c r="AM14" s="57" t="n">
        <f aca="false">(Recursos!AM8+Recursos!AM9+Recursos!AM16)*Supuestos!$C$74</f>
        <v>23304011461.5797</v>
      </c>
      <c r="AN14" s="57" t="n">
        <f aca="false">(Recursos!AN8+Recursos!AN9+Recursos!AN16)*Supuestos!$C$74</f>
        <v>19042290424.2985</v>
      </c>
      <c r="AO14" s="57" t="n">
        <f aca="false">(Recursos!AO8+Recursos!AO9+Recursos!AO16)*Supuestos!$C$74</f>
        <v>20050124365.5235</v>
      </c>
      <c r="AP14" s="57" t="n">
        <f aca="false">(Recursos!AP8+Recursos!AP9+Recursos!AP16)*Supuestos!$C$74</f>
        <v>19576599805.8256</v>
      </c>
      <c r="AQ14" s="57" t="n">
        <f aca="false">(Recursos!AQ8+Recursos!AQ9+Recursos!AQ16)*Supuestos!$C$74</f>
        <v>19123336853.404</v>
      </c>
      <c r="AR14" s="57" t="n">
        <f aca="false">(Recursos!AR8+Recursos!AR9+Recursos!AR16)*Supuestos!$C$74</f>
        <v>19617123020.3783</v>
      </c>
      <c r="AS14" s="57" t="n">
        <f aca="false">(Recursos!AS8+Recursos!AS9+Recursos!AS16)*Supuestos!$C$74</f>
        <v>20070385972.7999</v>
      </c>
      <c r="AT14" s="57" t="n">
        <f aca="false">(Recursos!AT8+Recursos!AT9+Recursos!AT16)*Supuestos!$C$74</f>
        <v>19596861413.1019</v>
      </c>
      <c r="AU14" s="57" t="n">
        <f aca="false">(Recursos!AU8+Recursos!AU9+Recursos!AU16)*Supuestos!$C$74</f>
        <v>19123336853.404</v>
      </c>
      <c r="AV14" s="57" t="n">
        <f aca="false">(Recursos!AV8+Recursos!AV9+Recursos!AV16)*Supuestos!$C$74</f>
        <v>19617123020.3783</v>
      </c>
      <c r="AW14" s="57" t="n">
        <f aca="false">(Recursos!AW8+Recursos!AW9+Recursos!AW16)*Supuestos!$C$74</f>
        <v>19143598460.6804</v>
      </c>
      <c r="AX14" s="57" t="n">
        <f aca="false">(Recursos!AX8+Recursos!AX9+Recursos!AX16)*Supuestos!$C$74</f>
        <v>20523648925.2214</v>
      </c>
      <c r="AY14" s="57" t="n">
        <f aca="false">(Recursos!AY8+Recursos!AY9+Recursos!AY16)*Supuestos!$C$74</f>
        <v>23745052423.8645</v>
      </c>
      <c r="AZ14" s="57" t="n">
        <f aca="false">(Recursos!AZ8+Recursos!AZ9+Recursos!AZ16)*Supuestos!$C$74</f>
        <v>19402323862.8983</v>
      </c>
      <c r="BA14" s="57" t="n">
        <f aca="false">(Recursos!BA8+Recursos!BA9+Recursos!BA16)*Supuestos!$C$74</f>
        <v>20428159476.0533</v>
      </c>
      <c r="BB14" s="57" t="n">
        <f aca="false">(Recursos!BB8+Recursos!BB9+Recursos!BB16)*Supuestos!$C$74</f>
        <v>19945634080.3904</v>
      </c>
      <c r="BC14" s="57" t="n">
        <f aca="false">(Recursos!BC8+Recursos!BC9+Recursos!BC16)*Supuestos!$C$74</f>
        <v>19483370292.0039</v>
      </c>
      <c r="BD14" s="57" t="n">
        <f aca="false">(Recursos!BD8+Recursos!BD9+Recursos!BD16)*Supuestos!$C$74</f>
        <v>19986157294.9432</v>
      </c>
      <c r="BE14" s="57" t="n">
        <f aca="false">(Recursos!BE8+Recursos!BE9+Recursos!BE16)*Supuestos!$C$74</f>
        <v>20448421083.3297</v>
      </c>
      <c r="BF14" s="57" t="n">
        <f aca="false">(Recursos!BF8+Recursos!BF9+Recursos!BF16)*Supuestos!$C$74</f>
        <v>19965895687.6668</v>
      </c>
      <c r="BG14" s="57" t="n">
        <f aca="false">(Recursos!BG8+Recursos!BG9+Recursos!BG16)*Supuestos!$C$74</f>
        <v>19483370292.0039</v>
      </c>
      <c r="BH14" s="57" t="n">
        <f aca="false">(Recursos!BH8+Recursos!BH9+Recursos!BH16)*Supuestos!$C$74</f>
        <v>19986157294.9432</v>
      </c>
      <c r="BI14" s="57" t="n">
        <f aca="false">(Recursos!BI8+Recursos!BI9+Recursos!BI16)*Supuestos!$C$74</f>
        <v>19503631899.2802</v>
      </c>
      <c r="BJ14" s="57" t="n">
        <f aca="false">(Recursos!BJ8+Recursos!BJ9+Recursos!BJ16)*Supuestos!$C$74</f>
        <v>20910684871.7162</v>
      </c>
      <c r="BK14" s="57" t="n">
        <f aca="false">(Recursos!BK8+Recursos!BK9+Recursos!BK16)*Supuestos!$C$74</f>
        <v>24194693684.9139</v>
      </c>
      <c r="BL14" s="57" t="n">
        <f aca="false">(Recursos!BL8+Recursos!BL9+Recursos!BL16)*Supuestos!$C$74</f>
        <v>19769377953.5509</v>
      </c>
      <c r="BM14" s="57" t="n">
        <f aca="false">(Recursos!BM8+Recursos!BM9+Recursos!BM16)*Supuestos!$C$74</f>
        <v>20813566271.2385</v>
      </c>
      <c r="BN14" s="57" t="n">
        <f aca="false">(Recursos!BN8+Recursos!BN9+Recursos!BN16)*Supuestos!$C$74</f>
        <v>20321864523.3092</v>
      </c>
      <c r="BO14" s="57" t="n">
        <f aca="false">(Recursos!BO8+Recursos!BO9+Recursos!BO16)*Supuestos!$C$74</f>
        <v>19850424382.6564</v>
      </c>
      <c r="BP14" s="57" t="n">
        <f aca="false">(Recursos!BP8+Recursos!BP9+Recursos!BP16)*Supuestos!$C$74</f>
        <v>20362387737.862</v>
      </c>
      <c r="BQ14" s="57" t="n">
        <f aca="false">(Recursos!BQ8+Recursos!BQ9+Recursos!BQ16)*Supuestos!$C$74</f>
        <v>20833827878.5148</v>
      </c>
      <c r="BR14" s="57" t="n">
        <f aca="false">(Recursos!BR8+Recursos!BR9+Recursos!BR16)*Supuestos!$C$74</f>
        <v>20342126130.5856</v>
      </c>
      <c r="BS14" s="57" t="n">
        <f aca="false">(Recursos!BS8+Recursos!BS9+Recursos!BS16)*Supuestos!$C$74</f>
        <v>19850424382.6564</v>
      </c>
      <c r="BT14" s="57" t="n">
        <f aca="false">(Recursos!BT8+Recursos!BT9+Recursos!BT16)*Supuestos!$C$74</f>
        <v>20362387737.862</v>
      </c>
      <c r="BU14" s="57" t="n">
        <f aca="false">(Recursos!BU8+Recursos!BU9+Recursos!BU16)*Supuestos!$C$74</f>
        <v>19870685989.9328</v>
      </c>
      <c r="BV14" s="57" t="n">
        <f aca="false">(Recursos!BV8+Recursos!BV9+Recursos!BV16)*Supuestos!$C$74</f>
        <v>21305268019.1677</v>
      </c>
      <c r="BW14" s="57" t="n">
        <f aca="false">(Recursos!BW8+Recursos!BW9+Recursos!BW16)*Supuestos!$C$74</f>
        <v>24653102950.5537</v>
      </c>
      <c r="BX14" s="57" t="n">
        <f aca="false">(Recursos!BX8+Recursos!BX9+Recursos!BX16)*Supuestos!$C$74</f>
        <v>20143589598.9711</v>
      </c>
      <c r="BY14" s="57" t="n">
        <f aca="false">(Recursos!BY8+Recursos!BY9+Recursos!BY16)*Supuestos!$C$74</f>
        <v>21206488498.9297</v>
      </c>
      <c r="BZ14" s="57" t="n">
        <f aca="false">(Recursos!BZ8+Recursos!BZ9+Recursos!BZ16)*Supuestos!$C$74</f>
        <v>20705431459.865</v>
      </c>
      <c r="CA14" s="57" t="n">
        <f aca="false">(Recursos!CA8+Recursos!CA9+Recursos!CA16)*Supuestos!$C$74</f>
        <v>20224636028.0767</v>
      </c>
      <c r="CB14" s="57" t="n">
        <f aca="false">(Recursos!CB8+Recursos!CB9+Recursos!CB16)*Supuestos!$C$74</f>
        <v>20745954674.4178</v>
      </c>
      <c r="CC14" s="57" t="n">
        <f aca="false">(Recursos!CC8+Recursos!CC9+Recursos!CC16)*Supuestos!$C$74</f>
        <v>21226750106.2061</v>
      </c>
      <c r="CD14" s="57" t="n">
        <f aca="false">(Recursos!CD8+Recursos!CD9+Recursos!CD16)*Supuestos!$C$74</f>
        <v>20725693067.1414</v>
      </c>
      <c r="CE14" s="57" t="n">
        <f aca="false">(Recursos!CE8+Recursos!CE9+Recursos!CE16)*Supuestos!$C$74</f>
        <v>20224636028.0767</v>
      </c>
      <c r="CF14" s="57" t="n">
        <f aca="false">(Recursos!CF8+Recursos!CF9+Recursos!CF16)*Supuestos!$C$74</f>
        <v>20745954674.4178</v>
      </c>
      <c r="CG14" s="57" t="n">
        <f aca="false">(Recursos!CG8+Recursos!CG9+Recursos!CG16)*Supuestos!$C$74</f>
        <v>20244897635.353</v>
      </c>
      <c r="CH14" s="57" t="n">
        <f aca="false">(Recursos!CH8+Recursos!CH9+Recursos!CH16)*Supuestos!$C$74</f>
        <v>21707545537.9945</v>
      </c>
      <c r="CI14" s="57" t="n">
        <f aca="false">(Recursos!CI8+Recursos!CI9+Recursos!CI16)*Supuestos!$C$74</f>
        <v>25120451196.8735</v>
      </c>
      <c r="CJ14" s="57" t="n">
        <f aca="false">(Recursos!CJ8+Recursos!CJ9+Recursos!CJ16)*Supuestos!$C$74</f>
        <v>20525098371.4771</v>
      </c>
      <c r="CK14" s="57" t="n">
        <f aca="false">(Recursos!CK8+Recursos!CK9+Recursos!CK16)*Supuestos!$C$74</f>
        <v>21607072710.061</v>
      </c>
      <c r="CL14" s="57" t="n">
        <f aca="false">(Recursos!CL8+Recursos!CL9+Recursos!CL16)*Supuestos!$C$74</f>
        <v>21096477951.6836</v>
      </c>
      <c r="CM14" s="57" t="n">
        <f aca="false">(Recursos!CM8+Recursos!CM9+Recursos!CM16)*Supuestos!$C$74</f>
        <v>20606144800.5826</v>
      </c>
      <c r="CN14" s="57" t="n">
        <f aca="false">(Recursos!CN8+Recursos!CN9+Recursos!CN16)*Supuestos!$C$74</f>
        <v>21137001166.2364</v>
      </c>
      <c r="CO14" s="57" t="n">
        <f aca="false">(Recursos!CO8+Recursos!CO9+Recursos!CO16)*Supuestos!$C$74</f>
        <v>21627334317.3374</v>
      </c>
      <c r="CP14" s="57" t="n">
        <f aca="false">(Recursos!CP8+Recursos!CP9+Recursos!CP16)*Supuestos!$C$74</f>
        <v>21116739558.96</v>
      </c>
      <c r="CQ14" s="57" t="n">
        <f aca="false">(Recursos!CQ8+Recursos!CQ9+Recursos!CQ16)*Supuestos!$C$74</f>
        <v>20606144800.5826</v>
      </c>
      <c r="CR14" s="57" t="n">
        <f aca="false">(Recursos!CR8+Recursos!CR9+Recursos!CR16)*Supuestos!$C$74</f>
        <v>21137001166.2364</v>
      </c>
      <c r="CS14" s="57" t="n">
        <f aca="false">(Recursos!CS8+Recursos!CS9+Recursos!CS16)*Supuestos!$C$74</f>
        <v>20626406407.859</v>
      </c>
      <c r="CT14" s="57" t="n">
        <f aca="false">(Recursos!CT8+Recursos!CT9+Recursos!CT16)*Supuestos!$C$74</f>
        <v>22117667468.4384</v>
      </c>
    </row>
    <row r="15" customFormat="false" ht="15" hidden="false" customHeight="true" outlineLevel="0" collapsed="false">
      <c r="B15" s="19" t="s">
        <v>594</v>
      </c>
      <c r="C15" s="57" t="n">
        <f aca="false">(Recursos!C8+Recursos!C9+Recursos!C16)*(1-Supuestos!$C$74)</f>
        <v>42014438.8152054</v>
      </c>
      <c r="D15" s="57" t="n">
        <f aca="false">(Recursos!D8+Recursos!D9+Recursos!D16)*(1-Supuestos!$C$74)</f>
        <v>34333685.3861231</v>
      </c>
      <c r="E15" s="57" t="n">
        <f aca="false">(Recursos!E8+Recursos!E9+Recursos!E16)*(1-Supuestos!$C$74)</f>
        <v>36158721.5689289</v>
      </c>
      <c r="F15" s="57" t="n">
        <f aca="false">(Recursos!F8+Recursos!F9+Recursos!F16)*(1-Supuestos!$C$74)</f>
        <v>35305304.521253</v>
      </c>
      <c r="G15" s="57" t="n">
        <f aca="false">(Recursos!G8+Recursos!G9+Recursos!G16)*(1-Supuestos!$C$74)</f>
        <v>34491288.1693953</v>
      </c>
      <c r="H15" s="57" t="n">
        <f aca="false">(Recursos!H8+Recursos!H9+Recursos!H16)*(1-Supuestos!$C$74)</f>
        <v>35384105.9128892</v>
      </c>
      <c r="I15" s="57" t="n">
        <f aca="false">(Recursos!I8+Recursos!I9+Recursos!I16)*(1-Supuestos!$C$74)</f>
        <v>36198122.2647469</v>
      </c>
      <c r="J15" s="57" t="n">
        <f aca="false">(Recursos!J8+Recursos!J9+Recursos!J16)*(1-Supuestos!$C$74)</f>
        <v>35344705.2170711</v>
      </c>
      <c r="K15" s="57" t="n">
        <f aca="false">(Recursos!K8+Recursos!K9+Recursos!K16)*(1-Supuestos!$C$74)</f>
        <v>34491288.1693953</v>
      </c>
      <c r="L15" s="57" t="n">
        <f aca="false">(Recursos!L8+Recursos!L9+Recursos!L16)*(1-Supuestos!$C$74)</f>
        <v>35384105.9128892</v>
      </c>
      <c r="M15" s="57" t="n">
        <f aca="false">(Recursos!M8+Recursos!M9+Recursos!M16)*(1-Supuestos!$C$74)</f>
        <v>34530688.8652133</v>
      </c>
      <c r="N15" s="57" t="n">
        <f aca="false">(Recursos!N8+Recursos!N9+Recursos!N16)*(1-Supuestos!$C$74)</f>
        <v>37012138.6166047</v>
      </c>
      <c r="O15" s="57" t="n">
        <f aca="false">(Recursos!O8+Recursos!O9+Recursos!O16)*(1-Supuestos!$C$74)</f>
        <v>43435176.3564061</v>
      </c>
      <c r="P15" s="57" t="n">
        <f aca="false">(Recursos!P8+Recursos!P9+Recursos!P16)*(1-Supuestos!$C$74)</f>
        <v>35493471.134042</v>
      </c>
      <c r="Q15" s="57" t="n">
        <f aca="false">(Recursos!Q8+Recursos!Q9+Recursos!Q16)*(1-Supuestos!$C$74)</f>
        <v>37376496.6042437</v>
      </c>
      <c r="R15" s="57" t="n">
        <f aca="false">(Recursos!R8+Recursos!R9+Recursos!R16)*(1-Supuestos!$C$74)</f>
        <v>36494084.9128699</v>
      </c>
      <c r="S15" s="57" t="n">
        <f aca="false">(Recursos!S8+Recursos!S9+Recursos!S16)*(1-Supuestos!$C$74)</f>
        <v>35651073.9173142</v>
      </c>
      <c r="T15" s="57" t="n">
        <f aca="false">(Recursos!T8+Recursos!T9+Recursos!T16)*(1-Supuestos!$C$74)</f>
        <v>36572886.304506</v>
      </c>
      <c r="U15" s="57" t="n">
        <f aca="false">(Recursos!U8+Recursos!U9+Recursos!U16)*(1-Supuestos!$C$74)</f>
        <v>37415897.3000618</v>
      </c>
      <c r="V15" s="57" t="n">
        <f aca="false">(Recursos!V8+Recursos!V9+Recursos!V16)*(1-Supuestos!$C$74)</f>
        <v>36533485.608688</v>
      </c>
      <c r="W15" s="57" t="n">
        <f aca="false">(Recursos!W8+Recursos!W9+Recursos!W16)*(1-Supuestos!$C$74)</f>
        <v>35651073.9173142</v>
      </c>
      <c r="X15" s="57" t="n">
        <f aca="false">(Recursos!X8+Recursos!X9+Recursos!X16)*(1-Supuestos!$C$74)</f>
        <v>36572886.304506</v>
      </c>
      <c r="Y15" s="57" t="n">
        <f aca="false">(Recursos!Y8+Recursos!Y9+Recursos!Y16)*(1-Supuestos!$C$74)</f>
        <v>35690474.6131322</v>
      </c>
      <c r="Z15" s="57" t="n">
        <f aca="false">(Recursos!Z8+Recursos!Z9+Recursos!Z16)*(1-Supuestos!$C$74)</f>
        <v>38258908.2956175</v>
      </c>
      <c r="AA15" s="57" t="n">
        <f aca="false">(Recursos!AA8+Recursos!AA9+Recursos!AA16)*(1-Supuestos!$C$74)</f>
        <v>44466770.6071859</v>
      </c>
      <c r="AB15" s="57" t="n">
        <f aca="false">(Recursos!AB8+Recursos!AB9+Recursos!AB16)*(1-Supuestos!$C$74)</f>
        <v>36335588.8897806</v>
      </c>
      <c r="AC15" s="57" t="n">
        <f aca="false">(Recursos!AC8+Recursos!AC9+Recursos!AC16)*(1-Supuestos!$C$74)</f>
        <v>38260720.2477693</v>
      </c>
      <c r="AD15" s="57" t="n">
        <f aca="false">(Recursos!AD8+Recursos!AD9+Recursos!AD16)*(1-Supuestos!$C$74)</f>
        <v>37357255.612502</v>
      </c>
      <c r="AE15" s="57" t="n">
        <f aca="false">(Recursos!AE8+Recursos!AE9+Recursos!AE16)*(1-Supuestos!$C$74)</f>
        <v>36493191.6730528</v>
      </c>
      <c r="AF15" s="57" t="n">
        <f aca="false">(Recursos!AF8+Recursos!AF9+Recursos!AF16)*(1-Supuestos!$C$74)</f>
        <v>37436057.0041381</v>
      </c>
      <c r="AG15" s="57" t="n">
        <f aca="false">(Recursos!AG8+Recursos!AG9+Recursos!AG16)*(1-Supuestos!$C$74)</f>
        <v>38300120.9435874</v>
      </c>
      <c r="AH15" s="57" t="n">
        <f aca="false">(Recursos!AH8+Recursos!AH9+Recursos!AH16)*(1-Supuestos!$C$74)</f>
        <v>37396656.3083201</v>
      </c>
      <c r="AI15" s="57" t="n">
        <f aca="false">(Recursos!AI8+Recursos!AI9+Recursos!AI16)*(1-Supuestos!$C$74)</f>
        <v>36493191.6730528</v>
      </c>
      <c r="AJ15" s="57" t="n">
        <f aca="false">(Recursos!AJ8+Recursos!AJ9+Recursos!AJ16)*(1-Supuestos!$C$74)</f>
        <v>37436057.0041381</v>
      </c>
      <c r="AK15" s="57" t="n">
        <f aca="false">(Recursos!AK8+Recursos!AK9+Recursos!AK16)*(1-Supuestos!$C$74)</f>
        <v>36532592.3688709</v>
      </c>
      <c r="AL15" s="57" t="n">
        <f aca="false">(Recursos!AL8+Recursos!AL9+Recursos!AL16)*(1-Supuestos!$C$74)</f>
        <v>39164184.8830366</v>
      </c>
      <c r="AM15" s="57" t="n">
        <f aca="false">(Recursos!AM8+Recursos!AM9+Recursos!AM16)*(1-Supuestos!$C$74)</f>
        <v>45316951.1388395</v>
      </c>
      <c r="AN15" s="57" t="n">
        <f aca="false">(Recursos!AN8+Recursos!AN9+Recursos!AN16)*(1-Supuestos!$C$74)</f>
        <v>37029613.8135794</v>
      </c>
      <c r="AO15" s="57" t="n">
        <f aca="false">(Recursos!AO8+Recursos!AO9+Recursos!AO16)*(1-Supuestos!$C$74)</f>
        <v>38989446.4177581</v>
      </c>
      <c r="AP15" s="57" t="n">
        <f aca="false">(Recursos!AP8+Recursos!AP9+Recursos!AP16)*(1-Supuestos!$C$74)</f>
        <v>38068631.1593958</v>
      </c>
      <c r="AQ15" s="57" t="n">
        <f aca="false">(Recursos!AQ8+Recursos!AQ9+Recursos!AQ16)*(1-Supuestos!$C$74)</f>
        <v>37187216.5968517</v>
      </c>
      <c r="AR15" s="57" t="n">
        <f aca="false">(Recursos!AR8+Recursos!AR9+Recursos!AR16)*(1-Supuestos!$C$74)</f>
        <v>38147432.5510319</v>
      </c>
      <c r="AS15" s="57" t="n">
        <f aca="false">(Recursos!AS8+Recursos!AS9+Recursos!AS16)*(1-Supuestos!$C$74)</f>
        <v>39028847.1135761</v>
      </c>
      <c r="AT15" s="57" t="n">
        <f aca="false">(Recursos!AT8+Recursos!AT9+Recursos!AT16)*(1-Supuestos!$C$74)</f>
        <v>38108031.8552139</v>
      </c>
      <c r="AU15" s="57" t="n">
        <f aca="false">(Recursos!AU8+Recursos!AU9+Recursos!AU16)*(1-Supuestos!$C$74)</f>
        <v>37187216.5968517</v>
      </c>
      <c r="AV15" s="57" t="n">
        <f aca="false">(Recursos!AV8+Recursos!AV9+Recursos!AV16)*(1-Supuestos!$C$74)</f>
        <v>38147432.5510319</v>
      </c>
      <c r="AW15" s="57" t="n">
        <f aca="false">(Recursos!AW8+Recursos!AW9+Recursos!AW16)*(1-Supuestos!$C$74)</f>
        <v>37226617.2926697</v>
      </c>
      <c r="AX15" s="57" t="n">
        <f aca="false">(Recursos!AX8+Recursos!AX9+Recursos!AX16)*(1-Supuestos!$C$74)</f>
        <v>39910261.6761203</v>
      </c>
      <c r="AY15" s="57" t="n">
        <f aca="false">(Recursos!AY8+Recursos!AY9+Recursos!AY16)*(1-Supuestos!$C$74)</f>
        <v>46174598.8348612</v>
      </c>
      <c r="AZ15" s="57" t="n">
        <f aca="false">(Recursos!AZ8+Recursos!AZ9+Recursos!AZ16)*(1-Supuestos!$C$74)</f>
        <v>37729734.3817604</v>
      </c>
      <c r="BA15" s="57" t="n">
        <f aca="false">(Recursos!BA8+Recursos!BA9+Recursos!BA16)*(1-Supuestos!$C$74)</f>
        <v>39724573.0143481</v>
      </c>
      <c r="BB15" s="57" t="n">
        <f aca="false">(Recursos!BB8+Recursos!BB9+Recursos!BB16)*(1-Supuestos!$C$74)</f>
        <v>38786254.7417813</v>
      </c>
      <c r="BC15" s="57" t="n">
        <f aca="false">(Recursos!BC8+Recursos!BC9+Recursos!BC16)*(1-Supuestos!$C$74)</f>
        <v>37887337.1650326</v>
      </c>
      <c r="BD15" s="57" t="n">
        <f aca="false">(Recursos!BD8+Recursos!BD9+Recursos!BD16)*(1-Supuestos!$C$74)</f>
        <v>38865056.1334174</v>
      </c>
      <c r="BE15" s="57" t="n">
        <f aca="false">(Recursos!BE8+Recursos!BE9+Recursos!BE16)*(1-Supuestos!$C$74)</f>
        <v>39763973.7101661</v>
      </c>
      <c r="BF15" s="57" t="n">
        <f aca="false">(Recursos!BF8+Recursos!BF9+Recursos!BF16)*(1-Supuestos!$C$74)</f>
        <v>38825655.4375994</v>
      </c>
      <c r="BG15" s="57" t="n">
        <f aca="false">(Recursos!BG8+Recursos!BG9+Recursos!BG16)*(1-Supuestos!$C$74)</f>
        <v>37887337.1650326</v>
      </c>
      <c r="BH15" s="57" t="n">
        <f aca="false">(Recursos!BH8+Recursos!BH9+Recursos!BH16)*(1-Supuestos!$C$74)</f>
        <v>38865056.1334174</v>
      </c>
      <c r="BI15" s="57" t="n">
        <f aca="false">(Recursos!BI8+Recursos!BI9+Recursos!BI16)*(1-Supuestos!$C$74)</f>
        <v>37926737.8608507</v>
      </c>
      <c r="BJ15" s="57" t="n">
        <f aca="false">(Recursos!BJ8+Recursos!BJ9+Recursos!BJ16)*(1-Supuestos!$C$74)</f>
        <v>40662891.2869148</v>
      </c>
      <c r="BK15" s="57" t="n">
        <f aca="false">(Recursos!BK8+Recursos!BK9+Recursos!BK16)*(1-Supuestos!$C$74)</f>
        <v>47048970.6609553</v>
      </c>
      <c r="BL15" s="57" t="n">
        <f aca="false">(Recursos!BL8+Recursos!BL9+Recursos!BL16)*(1-Supuestos!$C$74)</f>
        <v>38443507.3010209</v>
      </c>
      <c r="BM15" s="57" t="n">
        <f aca="false">(Recursos!BM8+Recursos!BM9+Recursos!BM16)*(1-Supuestos!$C$74)</f>
        <v>40474034.5795716</v>
      </c>
      <c r="BN15" s="57" t="n">
        <f aca="false">(Recursos!BN8+Recursos!BN9+Recursos!BN16)*(1-Supuestos!$C$74)</f>
        <v>39517871.9840233</v>
      </c>
      <c r="BO15" s="57" t="n">
        <f aca="false">(Recursos!BO8+Recursos!BO9+Recursos!BO16)*(1-Supuestos!$C$74)</f>
        <v>38601110.0842931</v>
      </c>
      <c r="BP15" s="57" t="n">
        <f aca="false">(Recursos!BP8+Recursos!BP9+Recursos!BP16)*(1-Supuestos!$C$74)</f>
        <v>39596673.3756594</v>
      </c>
      <c r="BQ15" s="57" t="n">
        <f aca="false">(Recursos!BQ8+Recursos!BQ9+Recursos!BQ16)*(1-Supuestos!$C$74)</f>
        <v>40513435.2753897</v>
      </c>
      <c r="BR15" s="57" t="n">
        <f aca="false">(Recursos!BR8+Recursos!BR9+Recursos!BR16)*(1-Supuestos!$C$74)</f>
        <v>39557272.6798414</v>
      </c>
      <c r="BS15" s="57" t="n">
        <f aca="false">(Recursos!BS8+Recursos!BS9+Recursos!BS16)*(1-Supuestos!$C$74)</f>
        <v>38601110.0842931</v>
      </c>
      <c r="BT15" s="57" t="n">
        <f aca="false">(Recursos!BT8+Recursos!BT9+Recursos!BT16)*(1-Supuestos!$C$74)</f>
        <v>39596673.3756594</v>
      </c>
      <c r="BU15" s="57" t="n">
        <f aca="false">(Recursos!BU8+Recursos!BU9+Recursos!BU16)*(1-Supuestos!$C$74)</f>
        <v>38640510.7801112</v>
      </c>
      <c r="BV15" s="57" t="n">
        <f aca="false">(Recursos!BV8+Recursos!BV9+Recursos!BV16)*(1-Supuestos!$C$74)</f>
        <v>41430197.1751199</v>
      </c>
      <c r="BW15" s="57" t="n">
        <f aca="false">(Recursos!BW8+Recursos!BW9+Recursos!BW16)*(1-Supuestos!$C$74)</f>
        <v>47940392.7376583</v>
      </c>
      <c r="BX15" s="57" t="n">
        <f aca="false">(Recursos!BX8+Recursos!BX9+Recursos!BX16)*(1-Supuestos!$C$74)</f>
        <v>39171198.792207</v>
      </c>
      <c r="BY15" s="57" t="n">
        <f aca="false">(Recursos!BY8+Recursos!BY9+Recursos!BY16)*(1-Supuestos!$C$74)</f>
        <v>41238110.645317</v>
      </c>
      <c r="BZ15" s="57" t="n">
        <f aca="false">(Recursos!BZ8+Recursos!BZ9+Recursos!BZ16)*(1-Supuestos!$C$74)</f>
        <v>40263755.7624891</v>
      </c>
      <c r="CA15" s="57" t="n">
        <f aca="false">(Recursos!CA8+Recursos!CA9+Recursos!CA16)*(1-Supuestos!$C$74)</f>
        <v>39328801.5754792</v>
      </c>
      <c r="CB15" s="57" t="n">
        <f aca="false">(Recursos!CB8+Recursos!CB9+Recursos!CB16)*(1-Supuestos!$C$74)</f>
        <v>40342557.1541252</v>
      </c>
      <c r="CC15" s="57" t="n">
        <f aca="false">(Recursos!CC8+Recursos!CC9+Recursos!CC16)*(1-Supuestos!$C$74)</f>
        <v>41277511.3411351</v>
      </c>
      <c r="CD15" s="57" t="n">
        <f aca="false">(Recursos!CD8+Recursos!CD9+Recursos!CD16)*(1-Supuestos!$C$74)</f>
        <v>40303156.4583071</v>
      </c>
      <c r="CE15" s="57" t="n">
        <f aca="false">(Recursos!CE8+Recursos!CE9+Recursos!CE16)*(1-Supuestos!$C$74)</f>
        <v>39328801.5754792</v>
      </c>
      <c r="CF15" s="57" t="n">
        <f aca="false">(Recursos!CF8+Recursos!CF9+Recursos!CF16)*(1-Supuestos!$C$74)</f>
        <v>40342557.1541252</v>
      </c>
      <c r="CG15" s="57" t="n">
        <f aca="false">(Recursos!CG8+Recursos!CG9+Recursos!CG16)*(1-Supuestos!$C$74)</f>
        <v>39368202.2712973</v>
      </c>
      <c r="CH15" s="57" t="n">
        <f aca="false">(Recursos!CH8+Recursos!CH9+Recursos!CH16)*(1-Supuestos!$C$74)</f>
        <v>42212465.5281449</v>
      </c>
      <c r="CI15" s="57" t="n">
        <f aca="false">(Recursos!CI8+Recursos!CI9+Recursos!CI16)*(1-Supuestos!$C$74)</f>
        <v>48849197.5448569</v>
      </c>
      <c r="CJ15" s="57" t="n">
        <f aca="false">(Recursos!CJ8+Recursos!CJ9+Recursos!CJ16)*(1-Supuestos!$C$74)</f>
        <v>39913080.2674712</v>
      </c>
      <c r="CK15" s="57" t="n">
        <f aca="false">(Recursos!CK8+Recursos!CK9+Recursos!CK16)*(1-Supuestos!$C$74)</f>
        <v>42017086.1943444</v>
      </c>
      <c r="CL15" s="57" t="n">
        <f aca="false">(Recursos!CL8+Recursos!CL9+Recursos!CL16)*(1-Supuestos!$C$74)</f>
        <v>41024184.2746349</v>
      </c>
      <c r="CM15" s="57" t="n">
        <f aca="false">(Recursos!CM8+Recursos!CM9+Recursos!CM16)*(1-Supuestos!$C$74)</f>
        <v>40070683.0507434</v>
      </c>
      <c r="CN15" s="57" t="n">
        <f aca="false">(Recursos!CN8+Recursos!CN9+Recursos!CN16)*(1-Supuestos!$C$74)</f>
        <v>41102985.666271</v>
      </c>
      <c r="CO15" s="57" t="n">
        <f aca="false">(Recursos!CO8+Recursos!CO9+Recursos!CO16)*(1-Supuestos!$C$74)</f>
        <v>42056486.8901625</v>
      </c>
      <c r="CP15" s="57" t="n">
        <f aca="false">(Recursos!CP8+Recursos!CP9+Recursos!CP16)*(1-Supuestos!$C$74)</f>
        <v>41063584.970453</v>
      </c>
      <c r="CQ15" s="57" t="n">
        <f aca="false">(Recursos!CQ8+Recursos!CQ9+Recursos!CQ16)*(1-Supuestos!$C$74)</f>
        <v>40070683.0507434</v>
      </c>
      <c r="CR15" s="57" t="n">
        <f aca="false">(Recursos!CR8+Recursos!CR9+Recursos!CR16)*(1-Supuestos!$C$74)</f>
        <v>41102985.666271</v>
      </c>
      <c r="CS15" s="57" t="n">
        <f aca="false">(Recursos!CS8+Recursos!CS9+Recursos!CS16)*(1-Supuestos!$C$74)</f>
        <v>40110083.7465615</v>
      </c>
      <c r="CT15" s="57" t="n">
        <f aca="false">(Recursos!CT8+Recursos!CT9+Recursos!CT16)*(1-Supuestos!$C$74)</f>
        <v>43009988.1140539</v>
      </c>
    </row>
    <row r="16" customFormat="false" ht="15" hidden="false" customHeight="true" outlineLevel="0" collapsed="false">
      <c r="B16" s="19" t="s">
        <v>595</v>
      </c>
      <c r="C16" s="57" t="n">
        <f aca="false">(Recursos!C10+Recursos!C11)*Supuestos!$C$75</f>
        <v>6262502493.35713</v>
      </c>
      <c r="D16" s="57" t="n">
        <f aca="false">(Recursos!D10+Recursos!D11)*Supuestos!$C$75</f>
        <v>6111598818.81841</v>
      </c>
      <c r="E16" s="57" t="n">
        <f aca="false">(Recursos!E10+Recursos!E11)*Supuestos!$C$75</f>
        <v>6413406167.89586</v>
      </c>
      <c r="F16" s="57" t="n">
        <f aca="false">(Recursos!F10+Recursos!F11)*Supuestos!$C$75</f>
        <v>6337954330.62649</v>
      </c>
      <c r="G16" s="57" t="n">
        <f aca="false">(Recursos!G10+Recursos!G11)*Supuestos!$C$75</f>
        <v>6262502493.35713</v>
      </c>
      <c r="H16" s="57" t="n">
        <f aca="false">(Recursos!H10+Recursos!H11)*Supuestos!$C$75</f>
        <v>6337954330.62649</v>
      </c>
      <c r="I16" s="57" t="n">
        <f aca="false">(Recursos!I10+Recursos!I11)*Supuestos!$C$75</f>
        <v>6413406167.89586</v>
      </c>
      <c r="J16" s="57" t="n">
        <f aca="false">(Recursos!J10+Recursos!J11)*Supuestos!$C$75</f>
        <v>6337954330.62649</v>
      </c>
      <c r="K16" s="57" t="n">
        <f aca="false">(Recursos!K10+Recursos!K11)*Supuestos!$C$75</f>
        <v>6262502493.35713</v>
      </c>
      <c r="L16" s="57" t="n">
        <f aca="false">(Recursos!L10+Recursos!L11)*Supuestos!$C$75</f>
        <v>6337954330.62649</v>
      </c>
      <c r="M16" s="57" t="n">
        <f aca="false">(Recursos!M10+Recursos!M11)*Supuestos!$C$75</f>
        <v>6262502493.35713</v>
      </c>
      <c r="N16" s="57" t="n">
        <f aca="false">(Recursos!N10+Recursos!N11)*Supuestos!$C$75</f>
        <v>6111598818.81841</v>
      </c>
      <c r="O16" s="57" t="n">
        <f aca="false">(Recursos!O10+Recursos!O11)*Supuestos!$C$75</f>
        <v>6150539630.69351</v>
      </c>
      <c r="P16" s="57" t="n">
        <f aca="false">(Recursos!P10+Recursos!P11)*Supuestos!$C$75</f>
        <v>6002333856.45993</v>
      </c>
      <c r="Q16" s="57" t="n">
        <f aca="false">(Recursos!Q10+Recursos!Q11)*Supuestos!$C$75</f>
        <v>6298745404.92709</v>
      </c>
      <c r="R16" s="57" t="n">
        <f aca="false">(Recursos!R10+Recursos!R11)*Supuestos!$C$75</f>
        <v>6224642517.8103</v>
      </c>
      <c r="S16" s="57" t="n">
        <f aca="false">(Recursos!S10+Recursos!S11)*Supuestos!$C$75</f>
        <v>6150539630.69351</v>
      </c>
      <c r="T16" s="57" t="n">
        <f aca="false">(Recursos!T10+Recursos!T11)*Supuestos!$C$75</f>
        <v>6224642517.8103</v>
      </c>
      <c r="U16" s="57" t="n">
        <f aca="false">(Recursos!U10+Recursos!U11)*Supuestos!$C$75</f>
        <v>6298745404.92709</v>
      </c>
      <c r="V16" s="57" t="n">
        <f aca="false">(Recursos!V10+Recursos!V11)*Supuestos!$C$75</f>
        <v>6224642517.8103</v>
      </c>
      <c r="W16" s="57" t="n">
        <f aca="false">(Recursos!W10+Recursos!W11)*Supuestos!$C$75</f>
        <v>6150539630.69351</v>
      </c>
      <c r="X16" s="57" t="n">
        <f aca="false">(Recursos!X10+Recursos!X11)*Supuestos!$C$75</f>
        <v>6224642517.8103</v>
      </c>
      <c r="Y16" s="57" t="n">
        <f aca="false">(Recursos!Y10+Recursos!Y11)*Supuestos!$C$75</f>
        <v>6150539630.69351</v>
      </c>
      <c r="Z16" s="57" t="n">
        <f aca="false">(Recursos!Z10+Recursos!Z11)*Supuestos!$C$75</f>
        <v>6002333856.45993</v>
      </c>
      <c r="AA16" s="57" t="n">
        <f aca="false">(Recursos!AA10+Recursos!AA11)*Supuestos!$C$75</f>
        <v>6041035472.49398</v>
      </c>
      <c r="AB16" s="57" t="n">
        <f aca="false">(Recursos!AB10+Recursos!AB11)*Supuestos!$C$75</f>
        <v>5895468352.67485</v>
      </c>
      <c r="AC16" s="57" t="n">
        <f aca="false">(Recursos!AC10+Recursos!AC11)*Supuestos!$C$75</f>
        <v>6186602592.31311</v>
      </c>
      <c r="AD16" s="57" t="n">
        <f aca="false">(Recursos!AD10+Recursos!AD11)*Supuestos!$C$75</f>
        <v>6113819032.40354</v>
      </c>
      <c r="AE16" s="57" t="n">
        <f aca="false">(Recursos!AE10+Recursos!AE11)*Supuestos!$C$75</f>
        <v>6041035472.49398</v>
      </c>
      <c r="AF16" s="57" t="n">
        <f aca="false">(Recursos!AF10+Recursos!AF11)*Supuestos!$C$75</f>
        <v>6113819032.40354</v>
      </c>
      <c r="AG16" s="57" t="n">
        <f aca="false">(Recursos!AG10+Recursos!AG11)*Supuestos!$C$75</f>
        <v>6186602592.31311</v>
      </c>
      <c r="AH16" s="57" t="n">
        <f aca="false">(Recursos!AH10+Recursos!AH11)*Supuestos!$C$75</f>
        <v>6113819032.40354</v>
      </c>
      <c r="AI16" s="57" t="n">
        <f aca="false">(Recursos!AI10+Recursos!AI11)*Supuestos!$C$75</f>
        <v>6041035472.49398</v>
      </c>
      <c r="AJ16" s="57" t="n">
        <f aca="false">(Recursos!AJ10+Recursos!AJ11)*Supuestos!$C$75</f>
        <v>6113819032.40354</v>
      </c>
      <c r="AK16" s="57" t="n">
        <f aca="false">(Recursos!AK10+Recursos!AK11)*Supuestos!$C$75</f>
        <v>6041035472.49398</v>
      </c>
      <c r="AL16" s="57" t="n">
        <f aca="false">(Recursos!AL10+Recursos!AL11)*Supuestos!$C$75</f>
        <v>5895468352.67485</v>
      </c>
      <c r="AM16" s="57" t="n">
        <f aca="false">(Recursos!AM10+Recursos!AM11)*Supuestos!$C$75</f>
        <v>5933936025.60851</v>
      </c>
      <c r="AN16" s="57" t="n">
        <f aca="false">(Recursos!AN10+Recursos!AN11)*Supuestos!$C$75</f>
        <v>5790949615.35288</v>
      </c>
      <c r="AO16" s="57" t="n">
        <f aca="false">(Recursos!AO10+Recursos!AO11)*Supuestos!$C$75</f>
        <v>6076922435.86414</v>
      </c>
      <c r="AP16" s="57" t="n">
        <f aca="false">(Recursos!AP10+Recursos!AP11)*Supuestos!$C$75</f>
        <v>6005429230.73632</v>
      </c>
      <c r="AQ16" s="57" t="n">
        <f aca="false">(Recursos!AQ10+Recursos!AQ11)*Supuestos!$C$75</f>
        <v>5933936025.60851</v>
      </c>
      <c r="AR16" s="57" t="n">
        <f aca="false">(Recursos!AR10+Recursos!AR11)*Supuestos!$C$75</f>
        <v>6005429230.73632</v>
      </c>
      <c r="AS16" s="57" t="n">
        <f aca="false">(Recursos!AS10+Recursos!AS11)*Supuestos!$C$75</f>
        <v>6076922435.86414</v>
      </c>
      <c r="AT16" s="57" t="n">
        <f aca="false">(Recursos!AT10+Recursos!AT11)*Supuestos!$C$75</f>
        <v>6005429230.73632</v>
      </c>
      <c r="AU16" s="57" t="n">
        <f aca="false">(Recursos!AU10+Recursos!AU11)*Supuestos!$C$75</f>
        <v>5933936025.60851</v>
      </c>
      <c r="AV16" s="57" t="n">
        <f aca="false">(Recursos!AV10+Recursos!AV11)*Supuestos!$C$75</f>
        <v>6005429230.73632</v>
      </c>
      <c r="AW16" s="57" t="n">
        <f aca="false">(Recursos!AW10+Recursos!AW11)*Supuestos!$C$75</f>
        <v>5933936025.60851</v>
      </c>
      <c r="AX16" s="57" t="n">
        <f aca="false">(Recursos!AX10+Recursos!AX11)*Supuestos!$C$75</f>
        <v>5790949615.35288</v>
      </c>
      <c r="AY16" s="57" t="n">
        <f aca="false">(Recursos!AY10+Recursos!AY11)*Supuestos!$C$75</f>
        <v>5829188482.57665</v>
      </c>
      <c r="AZ16" s="57" t="n">
        <f aca="false">(Recursos!AZ10+Recursos!AZ11)*Supuestos!$C$75</f>
        <v>5688726109.50251</v>
      </c>
      <c r="BA16" s="57" t="n">
        <f aca="false">(Recursos!BA10+Recursos!BA11)*Supuestos!$C$75</f>
        <v>5969650855.65078</v>
      </c>
      <c r="BB16" s="57" t="n">
        <f aca="false">(Recursos!BB10+Recursos!BB11)*Supuestos!$C$75</f>
        <v>5899419669.11372</v>
      </c>
      <c r="BC16" s="57" t="n">
        <f aca="false">(Recursos!BC10+Recursos!BC11)*Supuestos!$C$75</f>
        <v>5829188482.57665</v>
      </c>
      <c r="BD16" s="57" t="n">
        <f aca="false">(Recursos!BD10+Recursos!BD11)*Supuestos!$C$75</f>
        <v>5899419669.11372</v>
      </c>
      <c r="BE16" s="57" t="n">
        <f aca="false">(Recursos!BE10+Recursos!BE11)*Supuestos!$C$75</f>
        <v>5969650855.65078</v>
      </c>
      <c r="BF16" s="57" t="n">
        <f aca="false">(Recursos!BF10+Recursos!BF11)*Supuestos!$C$75</f>
        <v>5899419669.11372</v>
      </c>
      <c r="BG16" s="57" t="n">
        <f aca="false">(Recursos!BG10+Recursos!BG11)*Supuestos!$C$75</f>
        <v>5829188482.57665</v>
      </c>
      <c r="BH16" s="57" t="n">
        <f aca="false">(Recursos!BH10+Recursos!BH11)*Supuestos!$C$75</f>
        <v>5899419669.11372</v>
      </c>
      <c r="BI16" s="57" t="n">
        <f aca="false">(Recursos!BI10+Recursos!BI11)*Supuestos!$C$75</f>
        <v>5829188482.57665</v>
      </c>
      <c r="BJ16" s="57" t="n">
        <f aca="false">(Recursos!BJ10+Recursos!BJ11)*Supuestos!$C$75</f>
        <v>5688726109.50251</v>
      </c>
      <c r="BK16" s="57" t="n">
        <f aca="false">(Recursos!BK10+Recursos!BK11)*Supuestos!$C$75</f>
        <v>5726741195.58976</v>
      </c>
      <c r="BL16" s="57" t="n">
        <f aca="false">(Recursos!BL10+Recursos!BL11)*Supuestos!$C$75</f>
        <v>5588747431.84061</v>
      </c>
      <c r="BM16" s="57" t="n">
        <f aca="false">(Recursos!BM10+Recursos!BM11)*Supuestos!$C$75</f>
        <v>5864734959.33891</v>
      </c>
      <c r="BN16" s="57" t="n">
        <f aca="false">(Recursos!BN10+Recursos!BN11)*Supuestos!$C$75</f>
        <v>5795738077.46434</v>
      </c>
      <c r="BO16" s="57" t="n">
        <f aca="false">(Recursos!BO10+Recursos!BO11)*Supuestos!$C$75</f>
        <v>5726741195.58976</v>
      </c>
      <c r="BP16" s="57" t="n">
        <f aca="false">(Recursos!BP10+Recursos!BP11)*Supuestos!$C$75</f>
        <v>5795738077.46434</v>
      </c>
      <c r="BQ16" s="57" t="n">
        <f aca="false">(Recursos!BQ10+Recursos!BQ11)*Supuestos!$C$75</f>
        <v>5864734959.33891</v>
      </c>
      <c r="BR16" s="57" t="n">
        <f aca="false">(Recursos!BR10+Recursos!BR11)*Supuestos!$C$75</f>
        <v>5795738077.46434</v>
      </c>
      <c r="BS16" s="57" t="n">
        <f aca="false">(Recursos!BS10+Recursos!BS11)*Supuestos!$C$75</f>
        <v>5726741195.58976</v>
      </c>
      <c r="BT16" s="57" t="n">
        <f aca="false">(Recursos!BT10+Recursos!BT11)*Supuestos!$C$75</f>
        <v>5795738077.46434</v>
      </c>
      <c r="BU16" s="57" t="n">
        <f aca="false">(Recursos!BU10+Recursos!BU11)*Supuestos!$C$75</f>
        <v>5726741195.58976</v>
      </c>
      <c r="BV16" s="57" t="n">
        <f aca="false">(Recursos!BV10+Recursos!BV11)*Supuestos!$C$75</f>
        <v>5588747431.84061</v>
      </c>
      <c r="BW16" s="57" t="n">
        <f aca="false">(Recursos!BW10+Recursos!BW11)*Supuestos!$C$75</f>
        <v>5626543651.02511</v>
      </c>
      <c r="BX16" s="57" t="n">
        <f aca="false">(Recursos!BX10+Recursos!BX11)*Supuestos!$C$75</f>
        <v>5490964285.94017</v>
      </c>
      <c r="BY16" s="57" t="n">
        <f aca="false">(Recursos!BY10+Recursos!BY11)*Supuestos!$C$75</f>
        <v>5762123016.11005</v>
      </c>
      <c r="BZ16" s="57" t="n">
        <f aca="false">(Recursos!BZ10+Recursos!BZ11)*Supuestos!$C$75</f>
        <v>5694333333.56758</v>
      </c>
      <c r="CA16" s="57" t="n">
        <f aca="false">(Recursos!CA10+Recursos!CA11)*Supuestos!$C$75</f>
        <v>5626543651.02511</v>
      </c>
      <c r="CB16" s="57" t="n">
        <f aca="false">(Recursos!CB10+Recursos!CB11)*Supuestos!$C$75</f>
        <v>5694333333.56758</v>
      </c>
      <c r="CC16" s="57" t="n">
        <f aca="false">(Recursos!CC10+Recursos!CC11)*Supuestos!$C$75</f>
        <v>5762123016.11005</v>
      </c>
      <c r="CD16" s="57" t="n">
        <f aca="false">(Recursos!CD10+Recursos!CD11)*Supuestos!$C$75</f>
        <v>5694333333.56758</v>
      </c>
      <c r="CE16" s="57" t="n">
        <f aca="false">(Recursos!CE10+Recursos!CE11)*Supuestos!$C$75</f>
        <v>5626543651.02511</v>
      </c>
      <c r="CF16" s="57" t="n">
        <f aca="false">(Recursos!CF10+Recursos!CF11)*Supuestos!$C$75</f>
        <v>5694333333.56758</v>
      </c>
      <c r="CG16" s="57" t="n">
        <f aca="false">(Recursos!CG10+Recursos!CG11)*Supuestos!$C$75</f>
        <v>5626543651.02511</v>
      </c>
      <c r="CH16" s="57" t="n">
        <f aca="false">(Recursos!CH10+Recursos!CH11)*Supuestos!$C$75</f>
        <v>5490964285.94017</v>
      </c>
      <c r="CI16" s="57" t="n">
        <f aca="false">(Recursos!CI10+Recursos!CI11)*Supuestos!$C$75</f>
        <v>5528546444.5391</v>
      </c>
      <c r="CJ16" s="57" t="n">
        <f aca="false">(Recursos!CJ10+Recursos!CJ11)*Supuestos!$C$75</f>
        <v>5395328457.9237</v>
      </c>
      <c r="CK16" s="57" t="n">
        <f aca="false">(Recursos!CK10+Recursos!CK11)*Supuestos!$C$75</f>
        <v>5661764431.1545</v>
      </c>
      <c r="CL16" s="57" t="n">
        <f aca="false">(Recursos!CL10+Recursos!CL11)*Supuestos!$C$75</f>
        <v>5595155437.8468</v>
      </c>
      <c r="CM16" s="57" t="n">
        <f aca="false">(Recursos!CM10+Recursos!CM11)*Supuestos!$C$75</f>
        <v>5528546444.5391</v>
      </c>
      <c r="CN16" s="57" t="n">
        <f aca="false">(Recursos!CN10+Recursos!CN11)*Supuestos!$C$75</f>
        <v>5595155437.8468</v>
      </c>
      <c r="CO16" s="57" t="n">
        <f aca="false">(Recursos!CO10+Recursos!CO11)*Supuestos!$C$75</f>
        <v>5661764431.1545</v>
      </c>
      <c r="CP16" s="57" t="n">
        <f aca="false">(Recursos!CP10+Recursos!CP11)*Supuestos!$C$75</f>
        <v>5595155437.8468</v>
      </c>
      <c r="CQ16" s="57" t="n">
        <f aca="false">(Recursos!CQ10+Recursos!CQ11)*Supuestos!$C$75</f>
        <v>5528546444.5391</v>
      </c>
      <c r="CR16" s="57" t="n">
        <f aca="false">(Recursos!CR10+Recursos!CR11)*Supuestos!$C$75</f>
        <v>5595155437.8468</v>
      </c>
      <c r="CS16" s="57" t="n">
        <f aca="false">(Recursos!CS10+Recursos!CS11)*Supuestos!$C$75</f>
        <v>5528546444.5391</v>
      </c>
      <c r="CT16" s="57" t="n">
        <f aca="false">(Recursos!CT10+Recursos!CT11)*Supuestos!$C$75</f>
        <v>5395328457.9237</v>
      </c>
    </row>
    <row r="17" customFormat="false" ht="15" hidden="false" customHeight="true" outlineLevel="0" collapsed="false">
      <c r="B17" s="19" t="s">
        <v>596</v>
      </c>
      <c r="C17" s="57" t="n">
        <f aca="false">(Recursos!C10+Recursos!C11)*(1-Supuestos!$C$75)</f>
        <v>629587642.300627</v>
      </c>
      <c r="D17" s="57" t="n">
        <f aca="false">(Recursos!D10+Recursos!D11)*(1-Supuestos!$C$75)</f>
        <v>614416855.739167</v>
      </c>
      <c r="E17" s="57" t="n">
        <f aca="false">(Recursos!E10+Recursos!E11)*(1-Supuestos!$C$75)</f>
        <v>644758428.862088</v>
      </c>
      <c r="F17" s="57" t="n">
        <f aca="false">(Recursos!F10+Recursos!F11)*(1-Supuestos!$C$75)</f>
        <v>637173035.581358</v>
      </c>
      <c r="G17" s="57" t="n">
        <f aca="false">(Recursos!G10+Recursos!G11)*(1-Supuestos!$C$75)</f>
        <v>629587642.300627</v>
      </c>
      <c r="H17" s="57" t="n">
        <f aca="false">(Recursos!H10+Recursos!H11)*(1-Supuestos!$C$75)</f>
        <v>637173035.581358</v>
      </c>
      <c r="I17" s="57" t="n">
        <f aca="false">(Recursos!I10+Recursos!I11)*(1-Supuestos!$C$75)</f>
        <v>644758428.862088</v>
      </c>
      <c r="J17" s="57" t="n">
        <f aca="false">(Recursos!J10+Recursos!J11)*(1-Supuestos!$C$75)</f>
        <v>637173035.581358</v>
      </c>
      <c r="K17" s="57" t="n">
        <f aca="false">(Recursos!K10+Recursos!K11)*(1-Supuestos!$C$75)</f>
        <v>629587642.300627</v>
      </c>
      <c r="L17" s="57" t="n">
        <f aca="false">(Recursos!L10+Recursos!L11)*(1-Supuestos!$C$75)</f>
        <v>637173035.581358</v>
      </c>
      <c r="M17" s="57" t="n">
        <f aca="false">(Recursos!M10+Recursos!M11)*(1-Supuestos!$C$75)</f>
        <v>629587642.300627</v>
      </c>
      <c r="N17" s="57" t="n">
        <f aca="false">(Recursos!N10+Recursos!N11)*(1-Supuestos!$C$75)</f>
        <v>614416855.739167</v>
      </c>
      <c r="O17" s="57" t="n">
        <f aca="false">(Recursos!O10+Recursos!O11)*(1-Supuestos!$C$75)</f>
        <v>618331689.140626</v>
      </c>
      <c r="P17" s="57" t="n">
        <f aca="false">(Recursos!P10+Recursos!P11)*(1-Supuestos!$C$75)</f>
        <v>603432130.366153</v>
      </c>
      <c r="Q17" s="57" t="n">
        <f aca="false">(Recursos!Q10+Recursos!Q11)*(1-Supuestos!$C$75)</f>
        <v>633231247.915099</v>
      </c>
      <c r="R17" s="57" t="n">
        <f aca="false">(Recursos!R10+Recursos!R11)*(1-Supuestos!$C$75)</f>
        <v>625781468.527863</v>
      </c>
      <c r="S17" s="57" t="n">
        <f aca="false">(Recursos!S10+Recursos!S11)*(1-Supuestos!$C$75)</f>
        <v>618331689.140626</v>
      </c>
      <c r="T17" s="57" t="n">
        <f aca="false">(Recursos!T10+Recursos!T11)*(1-Supuestos!$C$75)</f>
        <v>625781468.527863</v>
      </c>
      <c r="U17" s="57" t="n">
        <f aca="false">(Recursos!U10+Recursos!U11)*(1-Supuestos!$C$75)</f>
        <v>633231247.915099</v>
      </c>
      <c r="V17" s="57" t="n">
        <f aca="false">(Recursos!V10+Recursos!V11)*(1-Supuestos!$C$75)</f>
        <v>625781468.527863</v>
      </c>
      <c r="W17" s="57" t="n">
        <f aca="false">(Recursos!W10+Recursos!W11)*(1-Supuestos!$C$75)</f>
        <v>618331689.140626</v>
      </c>
      <c r="X17" s="57" t="n">
        <f aca="false">(Recursos!X10+Recursos!X11)*(1-Supuestos!$C$75)</f>
        <v>625781468.527863</v>
      </c>
      <c r="Y17" s="57" t="n">
        <f aca="false">(Recursos!Y10+Recursos!Y11)*(1-Supuestos!$C$75)</f>
        <v>618331689.140626</v>
      </c>
      <c r="Z17" s="57" t="n">
        <f aca="false">(Recursos!Z10+Recursos!Z11)*(1-Supuestos!$C$75)</f>
        <v>603432130.366153</v>
      </c>
      <c r="AA17" s="57" t="n">
        <f aca="false">(Recursos!AA10+Recursos!AA11)*(1-Supuestos!$C$75)</f>
        <v>607322916.712018</v>
      </c>
      <c r="AB17" s="57" t="n">
        <f aca="false">(Recursos!AB10+Recursos!AB11)*(1-Supuestos!$C$75)</f>
        <v>592688629.562331</v>
      </c>
      <c r="AC17" s="57" t="n">
        <f aca="false">(Recursos!AC10+Recursos!AC11)*(1-Supuestos!$C$75)</f>
        <v>621957203.861706</v>
      </c>
      <c r="AD17" s="57" t="n">
        <f aca="false">(Recursos!AD10+Recursos!AD11)*(1-Supuestos!$C$75)</f>
        <v>614640060.286862</v>
      </c>
      <c r="AE17" s="57" t="n">
        <f aca="false">(Recursos!AE10+Recursos!AE11)*(1-Supuestos!$C$75)</f>
        <v>607322916.712018</v>
      </c>
      <c r="AF17" s="57" t="n">
        <f aca="false">(Recursos!AF10+Recursos!AF11)*(1-Supuestos!$C$75)</f>
        <v>614640060.286862</v>
      </c>
      <c r="AG17" s="57" t="n">
        <f aca="false">(Recursos!AG10+Recursos!AG11)*(1-Supuestos!$C$75)</f>
        <v>621957203.861706</v>
      </c>
      <c r="AH17" s="57" t="n">
        <f aca="false">(Recursos!AH10+Recursos!AH11)*(1-Supuestos!$C$75)</f>
        <v>614640060.286862</v>
      </c>
      <c r="AI17" s="57" t="n">
        <f aca="false">(Recursos!AI10+Recursos!AI11)*(1-Supuestos!$C$75)</f>
        <v>607322916.712018</v>
      </c>
      <c r="AJ17" s="57" t="n">
        <f aca="false">(Recursos!AJ10+Recursos!AJ11)*(1-Supuestos!$C$75)</f>
        <v>614640060.286862</v>
      </c>
      <c r="AK17" s="57" t="n">
        <f aca="false">(Recursos!AK10+Recursos!AK11)*(1-Supuestos!$C$75)</f>
        <v>607322916.712018</v>
      </c>
      <c r="AL17" s="57" t="n">
        <f aca="false">(Recursos!AL10+Recursos!AL11)*(1-Supuestos!$C$75)</f>
        <v>592688629.562331</v>
      </c>
      <c r="AM17" s="57" t="n">
        <f aca="false">(Recursos!AM10+Recursos!AM11)*(1-Supuestos!$C$75)</f>
        <v>596555896.925943</v>
      </c>
      <c r="AN17" s="57" t="n">
        <f aca="false">(Recursos!AN10+Recursos!AN11)*(1-Supuestos!$C$75)</f>
        <v>582181056.036161</v>
      </c>
      <c r="AO17" s="57" t="n">
        <f aca="false">(Recursos!AO10+Recursos!AO11)*(1-Supuestos!$C$75)</f>
        <v>610930737.815725</v>
      </c>
      <c r="AP17" s="57" t="n">
        <f aca="false">(Recursos!AP10+Recursos!AP11)*(1-Supuestos!$C$75)</f>
        <v>603743317.370834</v>
      </c>
      <c r="AQ17" s="57" t="n">
        <f aca="false">(Recursos!AQ10+Recursos!AQ11)*(1-Supuestos!$C$75)</f>
        <v>596555896.925943</v>
      </c>
      <c r="AR17" s="57" t="n">
        <f aca="false">(Recursos!AR10+Recursos!AR11)*(1-Supuestos!$C$75)</f>
        <v>603743317.370834</v>
      </c>
      <c r="AS17" s="57" t="n">
        <f aca="false">(Recursos!AS10+Recursos!AS11)*(1-Supuestos!$C$75)</f>
        <v>610930737.815725</v>
      </c>
      <c r="AT17" s="57" t="n">
        <f aca="false">(Recursos!AT10+Recursos!AT11)*(1-Supuestos!$C$75)</f>
        <v>603743317.370834</v>
      </c>
      <c r="AU17" s="57" t="n">
        <f aca="false">(Recursos!AU10+Recursos!AU11)*(1-Supuestos!$C$75)</f>
        <v>596555896.925943</v>
      </c>
      <c r="AV17" s="57" t="n">
        <f aca="false">(Recursos!AV10+Recursos!AV11)*(1-Supuestos!$C$75)</f>
        <v>603743317.370834</v>
      </c>
      <c r="AW17" s="57" t="n">
        <f aca="false">(Recursos!AW10+Recursos!AW11)*(1-Supuestos!$C$75)</f>
        <v>596555896.925943</v>
      </c>
      <c r="AX17" s="57" t="n">
        <f aca="false">(Recursos!AX10+Recursos!AX11)*(1-Supuestos!$C$75)</f>
        <v>582181056.036161</v>
      </c>
      <c r="AY17" s="57" t="n">
        <f aca="false">(Recursos!AY10+Recursos!AY11)*(1-Supuestos!$C$75)</f>
        <v>586025320.89437</v>
      </c>
      <c r="AZ17" s="57" t="n">
        <f aca="false">(Recursos!AZ10+Recursos!AZ11)*(1-Supuestos!$C$75)</f>
        <v>571904228.824626</v>
      </c>
      <c r="BA17" s="57" t="n">
        <f aca="false">(Recursos!BA10+Recursos!BA11)*(1-Supuestos!$C$75)</f>
        <v>600146412.964114</v>
      </c>
      <c r="BB17" s="57" t="n">
        <f aca="false">(Recursos!BB10+Recursos!BB11)*(1-Supuestos!$C$75)</f>
        <v>593085866.929242</v>
      </c>
      <c r="BC17" s="57" t="n">
        <f aca="false">(Recursos!BC10+Recursos!BC11)*(1-Supuestos!$C$75)</f>
        <v>586025320.89437</v>
      </c>
      <c r="BD17" s="57" t="n">
        <f aca="false">(Recursos!BD10+Recursos!BD11)*(1-Supuestos!$C$75)</f>
        <v>593085866.929242</v>
      </c>
      <c r="BE17" s="57" t="n">
        <f aca="false">(Recursos!BE10+Recursos!BE11)*(1-Supuestos!$C$75)</f>
        <v>600146412.964114</v>
      </c>
      <c r="BF17" s="57" t="n">
        <f aca="false">(Recursos!BF10+Recursos!BF11)*(1-Supuestos!$C$75)</f>
        <v>593085866.929242</v>
      </c>
      <c r="BG17" s="57" t="n">
        <f aca="false">(Recursos!BG10+Recursos!BG11)*(1-Supuestos!$C$75)</f>
        <v>586025320.89437</v>
      </c>
      <c r="BH17" s="57" t="n">
        <f aca="false">(Recursos!BH10+Recursos!BH11)*(1-Supuestos!$C$75)</f>
        <v>593085866.929242</v>
      </c>
      <c r="BI17" s="57" t="n">
        <f aca="false">(Recursos!BI10+Recursos!BI11)*(1-Supuestos!$C$75)</f>
        <v>586025320.89437</v>
      </c>
      <c r="BJ17" s="57" t="n">
        <f aca="false">(Recursos!BJ10+Recursos!BJ11)*(1-Supuestos!$C$75)</f>
        <v>571904228.824626</v>
      </c>
      <c r="BK17" s="57" t="n">
        <f aca="false">(Recursos!BK10+Recursos!BK11)*(1-Supuestos!$C$75)</f>
        <v>575725996.31245</v>
      </c>
      <c r="BL17" s="57" t="n">
        <f aca="false">(Recursos!BL10+Recursos!BL11)*(1-Supuestos!$C$75)</f>
        <v>561853080.738656</v>
      </c>
      <c r="BM17" s="57" t="n">
        <f aca="false">(Recursos!BM10+Recursos!BM11)*(1-Supuestos!$C$75)</f>
        <v>589598911.886244</v>
      </c>
      <c r="BN17" s="57" t="n">
        <f aca="false">(Recursos!BN10+Recursos!BN11)*(1-Supuestos!$C$75)</f>
        <v>582662454.099347</v>
      </c>
      <c r="BO17" s="57" t="n">
        <f aca="false">(Recursos!BO10+Recursos!BO11)*(1-Supuestos!$C$75)</f>
        <v>575725996.31245</v>
      </c>
      <c r="BP17" s="57" t="n">
        <f aca="false">(Recursos!BP10+Recursos!BP11)*(1-Supuestos!$C$75)</f>
        <v>582662454.099347</v>
      </c>
      <c r="BQ17" s="57" t="n">
        <f aca="false">(Recursos!BQ10+Recursos!BQ11)*(1-Supuestos!$C$75)</f>
        <v>589598911.886244</v>
      </c>
      <c r="BR17" s="57" t="n">
        <f aca="false">(Recursos!BR10+Recursos!BR11)*(1-Supuestos!$C$75)</f>
        <v>582662454.099347</v>
      </c>
      <c r="BS17" s="57" t="n">
        <f aca="false">(Recursos!BS10+Recursos!BS11)*(1-Supuestos!$C$75)</f>
        <v>575725996.31245</v>
      </c>
      <c r="BT17" s="57" t="n">
        <f aca="false">(Recursos!BT10+Recursos!BT11)*(1-Supuestos!$C$75)</f>
        <v>582662454.099347</v>
      </c>
      <c r="BU17" s="57" t="n">
        <f aca="false">(Recursos!BU10+Recursos!BU11)*(1-Supuestos!$C$75)</f>
        <v>575725996.31245</v>
      </c>
      <c r="BV17" s="57" t="n">
        <f aca="false">(Recursos!BV10+Recursos!BV11)*(1-Supuestos!$C$75)</f>
        <v>561853080.738656</v>
      </c>
      <c r="BW17" s="57" t="n">
        <f aca="false">(Recursos!BW10+Recursos!BW11)*(1-Supuestos!$C$75)</f>
        <v>565652844.898349</v>
      </c>
      <c r="BX17" s="57" t="n">
        <f aca="false">(Recursos!BX10+Recursos!BX11)*(1-Supuestos!$C$75)</f>
        <v>552022655.864654</v>
      </c>
      <c r="BY17" s="57" t="n">
        <f aca="false">(Recursos!BY10+Recursos!BY11)*(1-Supuestos!$C$75)</f>
        <v>579283033.932044</v>
      </c>
      <c r="BZ17" s="57" t="n">
        <f aca="false">(Recursos!BZ10+Recursos!BZ11)*(1-Supuestos!$C$75)</f>
        <v>572467939.415196</v>
      </c>
      <c r="CA17" s="57" t="n">
        <f aca="false">(Recursos!CA10+Recursos!CA11)*(1-Supuestos!$C$75)</f>
        <v>565652844.898349</v>
      </c>
      <c r="CB17" s="57" t="n">
        <f aca="false">(Recursos!CB10+Recursos!CB11)*(1-Supuestos!$C$75)</f>
        <v>572467939.415196</v>
      </c>
      <c r="CC17" s="57" t="n">
        <f aca="false">(Recursos!CC10+Recursos!CC11)*(1-Supuestos!$C$75)</f>
        <v>579283033.932044</v>
      </c>
      <c r="CD17" s="57" t="n">
        <f aca="false">(Recursos!CD10+Recursos!CD11)*(1-Supuestos!$C$75)</f>
        <v>572467939.415196</v>
      </c>
      <c r="CE17" s="57" t="n">
        <f aca="false">(Recursos!CE10+Recursos!CE11)*(1-Supuestos!$C$75)</f>
        <v>565652844.898349</v>
      </c>
      <c r="CF17" s="57" t="n">
        <f aca="false">(Recursos!CF10+Recursos!CF11)*(1-Supuestos!$C$75)</f>
        <v>572467939.415196</v>
      </c>
      <c r="CG17" s="57" t="n">
        <f aca="false">(Recursos!CG10+Recursos!CG11)*(1-Supuestos!$C$75)</f>
        <v>565652844.898349</v>
      </c>
      <c r="CH17" s="57" t="n">
        <f aca="false">(Recursos!CH10+Recursos!CH11)*(1-Supuestos!$C$75)</f>
        <v>552022655.864654</v>
      </c>
      <c r="CI17" s="57" t="n">
        <f aca="false">(Recursos!CI10+Recursos!CI11)*(1-Supuestos!$C$75)</f>
        <v>555800899.889301</v>
      </c>
      <c r="CJ17" s="57" t="n">
        <f aca="false">(Recursos!CJ10+Recursos!CJ11)*(1-Supuestos!$C$75)</f>
        <v>542408107.120885</v>
      </c>
      <c r="CK17" s="57" t="n">
        <f aca="false">(Recursos!CK10+Recursos!CK11)*(1-Supuestos!$C$75)</f>
        <v>569193692.657718</v>
      </c>
      <c r="CL17" s="57" t="n">
        <f aca="false">(Recursos!CL10+Recursos!CL11)*(1-Supuestos!$C$75)</f>
        <v>562497296.27351</v>
      </c>
      <c r="CM17" s="57" t="n">
        <f aca="false">(Recursos!CM10+Recursos!CM11)*(1-Supuestos!$C$75)</f>
        <v>555800899.889301</v>
      </c>
      <c r="CN17" s="57" t="n">
        <f aca="false">(Recursos!CN10+Recursos!CN11)*(1-Supuestos!$C$75)</f>
        <v>562497296.27351</v>
      </c>
      <c r="CO17" s="57" t="n">
        <f aca="false">(Recursos!CO10+Recursos!CO11)*(1-Supuestos!$C$75)</f>
        <v>569193692.657718</v>
      </c>
      <c r="CP17" s="57" t="n">
        <f aca="false">(Recursos!CP10+Recursos!CP11)*(1-Supuestos!$C$75)</f>
        <v>562497296.27351</v>
      </c>
      <c r="CQ17" s="57" t="n">
        <f aca="false">(Recursos!CQ10+Recursos!CQ11)*(1-Supuestos!$C$75)</f>
        <v>555800899.889301</v>
      </c>
      <c r="CR17" s="57" t="n">
        <f aca="false">(Recursos!CR10+Recursos!CR11)*(1-Supuestos!$C$75)</f>
        <v>562497296.27351</v>
      </c>
      <c r="CS17" s="57" t="n">
        <f aca="false">(Recursos!CS10+Recursos!CS11)*(1-Supuestos!$C$75)</f>
        <v>555800899.889301</v>
      </c>
      <c r="CT17" s="57" t="n">
        <f aca="false">(Recursos!CT10+Recursos!CT11)*(1-Supuestos!$C$75)</f>
        <v>542408107.120885</v>
      </c>
    </row>
    <row r="18" customFormat="false" ht="27" hidden="false" customHeight="true" outlineLevel="0" collapsed="false">
      <c r="B18" s="14" t="s">
        <v>597</v>
      </c>
      <c r="C18" s="57" t="n">
        <f aca="false">Recursos!C12</f>
        <v>626812408.9675</v>
      </c>
      <c r="D18" s="57" t="n">
        <f aca="false">Recursos!D12</f>
        <v>626812408.9675</v>
      </c>
      <c r="E18" s="57" t="n">
        <f aca="false">Recursos!E12</f>
        <v>626812408.9675</v>
      </c>
      <c r="F18" s="57" t="n">
        <f aca="false">Recursos!F12</f>
        <v>626812408.9675</v>
      </c>
      <c r="G18" s="57" t="n">
        <f aca="false">Recursos!G12</f>
        <v>626812408.9675</v>
      </c>
      <c r="H18" s="57" t="n">
        <f aca="false">Recursos!H12</f>
        <v>626812408.9675</v>
      </c>
      <c r="I18" s="57" t="n">
        <f aca="false">Recursos!I12</f>
        <v>626812408.9675</v>
      </c>
      <c r="J18" s="57" t="n">
        <f aca="false">Recursos!J12</f>
        <v>626812408.9675</v>
      </c>
      <c r="K18" s="57" t="n">
        <f aca="false">Recursos!K12</f>
        <v>626812408.9675</v>
      </c>
      <c r="L18" s="57" t="n">
        <f aca="false">Recursos!L12</f>
        <v>626812408.9675</v>
      </c>
      <c r="M18" s="57" t="n">
        <f aca="false">Recursos!M12</f>
        <v>626812408.9675</v>
      </c>
      <c r="N18" s="57" t="n">
        <f aca="false">Recursos!N12</f>
        <v>626812408.9675</v>
      </c>
      <c r="O18" s="57" t="n">
        <f aca="false">Recursos!O12</f>
        <v>626812408.9675</v>
      </c>
      <c r="P18" s="57" t="n">
        <f aca="false">Recursos!P12</f>
        <v>626812408.9675</v>
      </c>
      <c r="Q18" s="57" t="n">
        <f aca="false">Recursos!Q12</f>
        <v>626812408.9675</v>
      </c>
      <c r="R18" s="57" t="n">
        <f aca="false">Recursos!R12</f>
        <v>626812408.9675</v>
      </c>
      <c r="S18" s="57" t="n">
        <f aca="false">Recursos!S12</f>
        <v>626812408.9675</v>
      </c>
      <c r="T18" s="57" t="n">
        <f aca="false">Recursos!T12</f>
        <v>626812408.9675</v>
      </c>
      <c r="U18" s="57" t="n">
        <f aca="false">Recursos!U12</f>
        <v>626812408.9675</v>
      </c>
      <c r="V18" s="57" t="n">
        <f aca="false">Recursos!V12</f>
        <v>626812408.9675</v>
      </c>
      <c r="W18" s="57" t="n">
        <f aca="false">Recursos!W12</f>
        <v>626812408.9675</v>
      </c>
      <c r="X18" s="57" t="n">
        <f aca="false">Recursos!X12</f>
        <v>626812408.9675</v>
      </c>
      <c r="Y18" s="57" t="n">
        <f aca="false">Recursos!Y12</f>
        <v>626812408.9675</v>
      </c>
      <c r="Z18" s="57" t="n">
        <f aca="false">Recursos!Z12</f>
        <v>626812408.9675</v>
      </c>
      <c r="AA18" s="57" t="n">
        <f aca="false">Recursos!AA12</f>
        <v>626812408.9675</v>
      </c>
      <c r="AB18" s="57" t="n">
        <f aca="false">Recursos!AB12</f>
        <v>626812408.9675</v>
      </c>
      <c r="AC18" s="57" t="n">
        <f aca="false">Recursos!AC12</f>
        <v>626812408.9675</v>
      </c>
      <c r="AD18" s="57" t="n">
        <f aca="false">Recursos!AD12</f>
        <v>626812408.9675</v>
      </c>
      <c r="AE18" s="57" t="n">
        <f aca="false">Recursos!AE12</f>
        <v>626812408.9675</v>
      </c>
      <c r="AF18" s="57" t="n">
        <f aca="false">Recursos!AF12</f>
        <v>626812408.9675</v>
      </c>
      <c r="AG18" s="57" t="n">
        <f aca="false">Recursos!AG12</f>
        <v>626812408.9675</v>
      </c>
      <c r="AH18" s="57" t="n">
        <f aca="false">Recursos!AH12</f>
        <v>626812408.9675</v>
      </c>
      <c r="AI18" s="57" t="n">
        <f aca="false">Recursos!AI12</f>
        <v>626812408.9675</v>
      </c>
      <c r="AJ18" s="57" t="n">
        <f aca="false">Recursos!AJ12</f>
        <v>626812408.9675</v>
      </c>
      <c r="AK18" s="57" t="n">
        <f aca="false">Recursos!AK12</f>
        <v>626812408.9675</v>
      </c>
      <c r="AL18" s="57" t="n">
        <f aca="false">Recursos!AL12</f>
        <v>626812408.9675</v>
      </c>
      <c r="AM18" s="57" t="n">
        <f aca="false">Recursos!AM12</f>
        <v>626812408.9675</v>
      </c>
      <c r="AN18" s="57" t="n">
        <f aca="false">Recursos!AN12</f>
        <v>626812408.9675</v>
      </c>
      <c r="AO18" s="57" t="n">
        <f aca="false">Recursos!AO12</f>
        <v>626812408.9675</v>
      </c>
      <c r="AP18" s="57" t="n">
        <f aca="false">Recursos!AP12</f>
        <v>626812408.9675</v>
      </c>
      <c r="AQ18" s="57" t="n">
        <f aca="false">Recursos!AQ12</f>
        <v>626812408.9675</v>
      </c>
      <c r="AR18" s="57" t="n">
        <f aca="false">Recursos!AR12</f>
        <v>626812408.9675</v>
      </c>
      <c r="AS18" s="57" t="n">
        <f aca="false">Recursos!AS12</f>
        <v>626812408.9675</v>
      </c>
      <c r="AT18" s="57" t="n">
        <f aca="false">Recursos!AT12</f>
        <v>626812408.9675</v>
      </c>
      <c r="AU18" s="57" t="n">
        <f aca="false">Recursos!AU12</f>
        <v>626812408.9675</v>
      </c>
      <c r="AV18" s="57" t="n">
        <f aca="false">Recursos!AV12</f>
        <v>626812408.9675</v>
      </c>
      <c r="AW18" s="57" t="n">
        <f aca="false">Recursos!AW12</f>
        <v>626812408.9675</v>
      </c>
      <c r="AX18" s="57" t="n">
        <f aca="false">Recursos!AX12</f>
        <v>626812408.9675</v>
      </c>
      <c r="AY18" s="57" t="n">
        <f aca="false">Recursos!AY12</f>
        <v>626812408.9675</v>
      </c>
      <c r="AZ18" s="57" t="n">
        <f aca="false">Recursos!AZ12</f>
        <v>626812408.9675</v>
      </c>
      <c r="BA18" s="57" t="n">
        <f aca="false">Recursos!BA12</f>
        <v>626812408.9675</v>
      </c>
      <c r="BB18" s="57" t="n">
        <f aca="false">Recursos!BB12</f>
        <v>626812408.9675</v>
      </c>
      <c r="BC18" s="57" t="n">
        <f aca="false">Recursos!BC12</f>
        <v>626812408.9675</v>
      </c>
      <c r="BD18" s="57" t="n">
        <f aca="false">Recursos!BD12</f>
        <v>626812408.9675</v>
      </c>
      <c r="BE18" s="57" t="n">
        <f aca="false">Recursos!BE12</f>
        <v>626812408.9675</v>
      </c>
      <c r="BF18" s="57" t="n">
        <f aca="false">Recursos!BF12</f>
        <v>626812408.9675</v>
      </c>
      <c r="BG18" s="57" t="n">
        <f aca="false">Recursos!BG12</f>
        <v>626812408.9675</v>
      </c>
      <c r="BH18" s="57" t="n">
        <f aca="false">Recursos!BH12</f>
        <v>626812408.9675</v>
      </c>
      <c r="BI18" s="57" t="n">
        <f aca="false">Recursos!BI12</f>
        <v>626812408.9675</v>
      </c>
      <c r="BJ18" s="57" t="n">
        <f aca="false">Recursos!BJ12</f>
        <v>626812408.9675</v>
      </c>
      <c r="BK18" s="57" t="n">
        <f aca="false">Recursos!BK12</f>
        <v>626812408.9675</v>
      </c>
      <c r="BL18" s="57" t="n">
        <f aca="false">Recursos!BL12</f>
        <v>626812408.9675</v>
      </c>
      <c r="BM18" s="57" t="n">
        <f aca="false">Recursos!BM12</f>
        <v>626812408.9675</v>
      </c>
      <c r="BN18" s="57" t="n">
        <f aca="false">Recursos!BN12</f>
        <v>626812408.9675</v>
      </c>
      <c r="BO18" s="57" t="n">
        <f aca="false">Recursos!BO12</f>
        <v>626812408.9675</v>
      </c>
      <c r="BP18" s="57" t="n">
        <f aca="false">Recursos!BP12</f>
        <v>626812408.9675</v>
      </c>
      <c r="BQ18" s="57" t="n">
        <f aca="false">Recursos!BQ12</f>
        <v>626812408.9675</v>
      </c>
      <c r="BR18" s="57" t="n">
        <f aca="false">Recursos!BR12</f>
        <v>626812408.9675</v>
      </c>
      <c r="BS18" s="57" t="n">
        <f aca="false">Recursos!BS12</f>
        <v>626812408.9675</v>
      </c>
      <c r="BT18" s="57" t="n">
        <f aca="false">Recursos!BT12</f>
        <v>626812408.9675</v>
      </c>
      <c r="BU18" s="57" t="n">
        <f aca="false">Recursos!BU12</f>
        <v>626812408.9675</v>
      </c>
      <c r="BV18" s="57" t="n">
        <f aca="false">Recursos!BV12</f>
        <v>626812408.9675</v>
      </c>
      <c r="BW18" s="57" t="n">
        <f aca="false">Recursos!BW12</f>
        <v>626812408.9675</v>
      </c>
      <c r="BX18" s="57" t="n">
        <f aca="false">Recursos!BX12</f>
        <v>626812408.9675</v>
      </c>
      <c r="BY18" s="57" t="n">
        <f aca="false">Recursos!BY12</f>
        <v>626812408.9675</v>
      </c>
      <c r="BZ18" s="57" t="n">
        <f aca="false">Recursos!BZ12</f>
        <v>626812408.9675</v>
      </c>
      <c r="CA18" s="57" t="n">
        <f aca="false">Recursos!CA12</f>
        <v>626812408.9675</v>
      </c>
      <c r="CB18" s="57" t="n">
        <f aca="false">Recursos!CB12</f>
        <v>626812408.9675</v>
      </c>
      <c r="CC18" s="57" t="n">
        <f aca="false">Recursos!CC12</f>
        <v>626812408.9675</v>
      </c>
      <c r="CD18" s="57" t="n">
        <f aca="false">Recursos!CD12</f>
        <v>626812408.9675</v>
      </c>
      <c r="CE18" s="57" t="n">
        <f aca="false">Recursos!CE12</f>
        <v>626812408.9675</v>
      </c>
      <c r="CF18" s="57" t="n">
        <f aca="false">Recursos!CF12</f>
        <v>626812408.9675</v>
      </c>
      <c r="CG18" s="57" t="n">
        <f aca="false">Recursos!CG12</f>
        <v>626812408.9675</v>
      </c>
      <c r="CH18" s="57" t="n">
        <f aca="false">Recursos!CH12</f>
        <v>626812408.9675</v>
      </c>
      <c r="CI18" s="57" t="n">
        <f aca="false">Recursos!CI12</f>
        <v>626812408.9675</v>
      </c>
      <c r="CJ18" s="57" t="n">
        <f aca="false">Recursos!CJ12</f>
        <v>626812408.9675</v>
      </c>
      <c r="CK18" s="57" t="n">
        <f aca="false">Recursos!CK12</f>
        <v>626812408.9675</v>
      </c>
      <c r="CL18" s="57" t="n">
        <f aca="false">Recursos!CL12</f>
        <v>626812408.9675</v>
      </c>
      <c r="CM18" s="57" t="n">
        <f aca="false">Recursos!CM12</f>
        <v>626812408.9675</v>
      </c>
      <c r="CN18" s="57" t="n">
        <f aca="false">Recursos!CN12</f>
        <v>626812408.9675</v>
      </c>
      <c r="CO18" s="57" t="n">
        <f aca="false">Recursos!CO12</f>
        <v>626812408.9675</v>
      </c>
      <c r="CP18" s="57" t="n">
        <f aca="false">Recursos!CP12</f>
        <v>626812408.9675</v>
      </c>
      <c r="CQ18" s="57" t="n">
        <f aca="false">Recursos!CQ12</f>
        <v>626812408.9675</v>
      </c>
      <c r="CR18" s="57" t="n">
        <f aca="false">Recursos!CR12</f>
        <v>626812408.9675</v>
      </c>
      <c r="CS18" s="57" t="n">
        <f aca="false">Recursos!CS12</f>
        <v>626812408.9675</v>
      </c>
      <c r="CT18" s="57" t="n">
        <f aca="false">Recursos!CT12</f>
        <v>626812408.9675</v>
      </c>
    </row>
    <row r="19" customFormat="false" ht="15" hidden="false" customHeight="true" outlineLevel="0" collapsed="false">
      <c r="B19" s="46" t="s">
        <v>598</v>
      </c>
      <c r="C19" s="58" t="n">
        <f aca="false">SUM(C14:C18)</f>
        <v>29166628292.2543</v>
      </c>
      <c r="D19" s="58" t="n">
        <f aca="false">SUM(D14:D18)</f>
        <v>25043084721.5641</v>
      </c>
      <c r="E19" s="58" t="n">
        <f aca="false">SUM(E14:E18)</f>
        <v>26315574247.5899</v>
      </c>
      <c r="F19" s="58" t="n">
        <f aca="false">SUM(F14:F18)</f>
        <v>25792818227.0854</v>
      </c>
      <c r="G19" s="58" t="n">
        <f aca="false">SUM(G14:G18)</f>
        <v>25290363214.553</v>
      </c>
      <c r="H19" s="58" t="n">
        <f aca="false">SUM(H14:H18)</f>
        <v>25833420243.0298</v>
      </c>
      <c r="I19" s="58" t="n">
        <f aca="false">SUM(I14:I18)</f>
        <v>26335875255.5621</v>
      </c>
      <c r="J19" s="58" t="n">
        <f aca="false">SUM(J14:J18)</f>
        <v>25813119235.0576</v>
      </c>
      <c r="K19" s="58" t="n">
        <f aca="false">SUM(K14:K18)</f>
        <v>25290363214.553</v>
      </c>
      <c r="L19" s="58" t="n">
        <f aca="false">SUM(L14:L18)</f>
        <v>25833420243.0298</v>
      </c>
      <c r="M19" s="58" t="n">
        <f aca="false">SUM(M14:M18)</f>
        <v>25310664222.5252</v>
      </c>
      <c r="N19" s="58" t="n">
        <f aca="false">SUM(N14:N18)</f>
        <v>26423144115.344</v>
      </c>
      <c r="O19" s="58" t="n">
        <f aca="false">SUM(O14:O18)</f>
        <v>29775437263.0339</v>
      </c>
      <c r="P19" s="58" t="n">
        <f aca="false">SUM(P14:P18)</f>
        <v>25520408737.1822</v>
      </c>
      <c r="Q19" s="58" t="n">
        <f aca="false">SUM(Q14:Q18)</f>
        <v>26816838692.1912</v>
      </c>
      <c r="R19" s="58" t="n">
        <f aca="false">SUM(R14:R18)</f>
        <v>26280627893.149</v>
      </c>
      <c r="S19" s="58" t="n">
        <f aca="false">SUM(S14:S18)</f>
        <v>25764718102.079</v>
      </c>
      <c r="T19" s="58" t="n">
        <f aca="false">SUM(T14:T18)</f>
        <v>26321229909.0934</v>
      </c>
      <c r="U19" s="58" t="n">
        <f aca="false">SUM(U14:U18)</f>
        <v>26837139700.1634</v>
      </c>
      <c r="V19" s="58" t="n">
        <f aca="false">SUM(V14:V18)</f>
        <v>26300928901.1212</v>
      </c>
      <c r="W19" s="58" t="n">
        <f aca="false">SUM(W14:W18)</f>
        <v>25764718102.079</v>
      </c>
      <c r="X19" s="58" t="n">
        <f aca="false">SUM(X14:X18)</f>
        <v>26321229909.0934</v>
      </c>
      <c r="Y19" s="58" t="n">
        <f aca="false">SUM(Y14:Y18)</f>
        <v>25785019110.0512</v>
      </c>
      <c r="Z19" s="58" t="n">
        <f aca="false">SUM(Z14:Z18)</f>
        <v>26945286158.7133</v>
      </c>
      <c r="AA19" s="58" t="n">
        <f aca="false">SUM(AA14:AA18)</f>
        <v>30186448019.3443</v>
      </c>
      <c r="AB19" s="58" t="n">
        <f aca="false">SUM(AB14:AB18)</f>
        <v>25836696619.89</v>
      </c>
      <c r="AC19" s="58" t="n">
        <f aca="false">SUM(AC14:AC18)</f>
        <v>27149013567.1855</v>
      </c>
      <c r="AD19" s="58" t="n">
        <f aca="false">SUM(AD14:AD18)</f>
        <v>26603407308.9805</v>
      </c>
      <c r="AE19" s="58" t="n">
        <f aca="false">SUM(AE14:AE18)</f>
        <v>26078102058.7477</v>
      </c>
      <c r="AF19" s="58" t="n">
        <f aca="false">SUM(AF14:AF18)</f>
        <v>26644009324.9249</v>
      </c>
      <c r="AG19" s="58" t="n">
        <f aca="false">SUM(AG14:AG18)</f>
        <v>27169314575.1577</v>
      </c>
      <c r="AH19" s="58" t="n">
        <f aca="false">SUM(AH14:AH18)</f>
        <v>26623708316.9527</v>
      </c>
      <c r="AI19" s="58" t="n">
        <f aca="false">SUM(AI14:AI18)</f>
        <v>26078102058.7477</v>
      </c>
      <c r="AJ19" s="58" t="n">
        <f aca="false">SUM(AJ14:AJ18)</f>
        <v>26644009324.9249</v>
      </c>
      <c r="AK19" s="58" t="n">
        <f aca="false">SUM(AK14:AK18)</f>
        <v>26098403066.7199</v>
      </c>
      <c r="AL19" s="58" t="n">
        <f aca="false">SUM(AL14:AL18)</f>
        <v>27294116307.9685</v>
      </c>
      <c r="AM19" s="58" t="n">
        <f aca="false">SUM(AM14:AM18)</f>
        <v>30506632744.2205</v>
      </c>
      <c r="AN19" s="58" t="n">
        <f aca="false">SUM(AN14:AN18)</f>
        <v>26079263118.4686</v>
      </c>
      <c r="AO19" s="58" t="n">
        <f aca="false">SUM(AO14:AO18)</f>
        <v>27403779394.5886</v>
      </c>
      <c r="AP19" s="58" t="n">
        <f aca="false">SUM(AP14:AP18)</f>
        <v>26850653394.0596</v>
      </c>
      <c r="AQ19" s="58" t="n">
        <f aca="false">SUM(AQ14:AQ18)</f>
        <v>26317828401.5028</v>
      </c>
      <c r="AR19" s="58" t="n">
        <f aca="false">SUM(AR14:AR18)</f>
        <v>26891255410.004</v>
      </c>
      <c r="AS19" s="58" t="n">
        <f aca="false">SUM(AS14:AS18)</f>
        <v>27424080402.5608</v>
      </c>
      <c r="AT19" s="58" t="n">
        <f aca="false">SUM(AT14:AT18)</f>
        <v>26870954402.0318</v>
      </c>
      <c r="AU19" s="58" t="n">
        <f aca="false">SUM(AU14:AU18)</f>
        <v>26317828401.5028</v>
      </c>
      <c r="AV19" s="58" t="n">
        <f aca="false">SUM(AV14:AV18)</f>
        <v>26891255410.004</v>
      </c>
      <c r="AW19" s="58" t="n">
        <f aca="false">SUM(AW14:AW18)</f>
        <v>26338129409.475</v>
      </c>
      <c r="AX19" s="58" t="n">
        <f aca="false">SUM(AX14:AX18)</f>
        <v>27563502267.2541</v>
      </c>
      <c r="AY19" s="58" t="n">
        <f aca="false">SUM(AY14:AY18)</f>
        <v>30833253235.1379</v>
      </c>
      <c r="AZ19" s="58" t="n">
        <f aca="false">SUM(AZ14:AZ18)</f>
        <v>26327496344.5747</v>
      </c>
      <c r="BA19" s="58" t="n">
        <f aca="false">SUM(BA14:BA18)</f>
        <v>27664493726.65</v>
      </c>
      <c r="BB19" s="58" t="n">
        <f aca="false">SUM(BB14:BB18)</f>
        <v>27103738280.1426</v>
      </c>
      <c r="BC19" s="58" t="n">
        <f aca="false">SUM(BC14:BC18)</f>
        <v>26563283841.6074</v>
      </c>
      <c r="BD19" s="58" t="n">
        <f aca="false">SUM(BD14:BD18)</f>
        <v>27144340296.087</v>
      </c>
      <c r="BE19" s="58" t="n">
        <f aca="false">SUM(BE14:BE18)</f>
        <v>27684794734.6222</v>
      </c>
      <c r="BF19" s="58" t="n">
        <f aca="false">SUM(BF14:BF18)</f>
        <v>27124039288.1148</v>
      </c>
      <c r="BG19" s="58" t="n">
        <f aca="false">SUM(BG14:BG18)</f>
        <v>26563283841.6074</v>
      </c>
      <c r="BH19" s="58" t="n">
        <f aca="false">SUM(BH14:BH18)</f>
        <v>27144340296.087</v>
      </c>
      <c r="BI19" s="58" t="n">
        <f aca="false">SUM(BI14:BI18)</f>
        <v>26583584849.5796</v>
      </c>
      <c r="BJ19" s="58" t="n">
        <f aca="false">SUM(BJ14:BJ18)</f>
        <v>27838790510.2978</v>
      </c>
      <c r="BK19" s="58" t="n">
        <f aca="false">SUM(BK14:BK18)</f>
        <v>31171022256.4446</v>
      </c>
      <c r="BL19" s="58" t="n">
        <f aca="false">SUM(BL14:BL18)</f>
        <v>26585234382.3987</v>
      </c>
      <c r="BM19" s="58" t="n">
        <f aca="false">SUM(BM14:BM18)</f>
        <v>27935186586.0107</v>
      </c>
      <c r="BN19" s="58" t="n">
        <f aca="false">SUM(BN14:BN18)</f>
        <v>27366595335.8244</v>
      </c>
      <c r="BO19" s="58" t="n">
        <f aca="false">SUM(BO14:BO18)</f>
        <v>26818305093.6104</v>
      </c>
      <c r="BP19" s="58" t="n">
        <f aca="false">SUM(BP14:BP18)</f>
        <v>27407197351.7688</v>
      </c>
      <c r="BQ19" s="58" t="n">
        <f aca="false">SUM(BQ14:BQ18)</f>
        <v>27955487593.9829</v>
      </c>
      <c r="BR19" s="58" t="n">
        <f aca="false">SUM(BR14:BR18)</f>
        <v>27386896343.7966</v>
      </c>
      <c r="BS19" s="58" t="n">
        <f aca="false">SUM(BS14:BS18)</f>
        <v>26818305093.6104</v>
      </c>
      <c r="BT19" s="58" t="n">
        <f aca="false">SUM(BT14:BT18)</f>
        <v>27407197351.7688</v>
      </c>
      <c r="BU19" s="58" t="n">
        <f aca="false">SUM(BU14:BU18)</f>
        <v>26838606101.5826</v>
      </c>
      <c r="BV19" s="58" t="n">
        <f aca="false">SUM(BV14:BV18)</f>
        <v>28124111137.8896</v>
      </c>
      <c r="BW19" s="58" t="n">
        <f aca="false">SUM(BW14:BW18)</f>
        <v>31520052248.1823</v>
      </c>
      <c r="BX19" s="58" t="n">
        <f aca="false">SUM(BX14:BX18)</f>
        <v>26852560148.5357</v>
      </c>
      <c r="BY19" s="58" t="n">
        <f aca="false">SUM(BY14:BY18)</f>
        <v>28215945068.5847</v>
      </c>
      <c r="BZ19" s="58" t="n">
        <f aca="false">SUM(BZ14:BZ18)</f>
        <v>27639308897.5778</v>
      </c>
      <c r="CA19" s="58" t="n">
        <f aca="false">SUM(CA14:CA18)</f>
        <v>27082973734.5431</v>
      </c>
      <c r="CB19" s="58" t="n">
        <f aca="false">SUM(CB14:CB18)</f>
        <v>27679910913.5222</v>
      </c>
      <c r="CC19" s="58" t="n">
        <f aca="false">SUM(CC14:CC18)</f>
        <v>28236246076.5568</v>
      </c>
      <c r="CD19" s="58" t="n">
        <f aca="false">SUM(CD14:CD18)</f>
        <v>27659609905.55</v>
      </c>
      <c r="CE19" s="58" t="n">
        <f aca="false">SUM(CE14:CE18)</f>
        <v>27082973734.5431</v>
      </c>
      <c r="CF19" s="58" t="n">
        <f aca="false">SUM(CF14:CF18)</f>
        <v>27679910913.5222</v>
      </c>
      <c r="CG19" s="58" t="n">
        <f aca="false">SUM(CG14:CG18)</f>
        <v>27103274742.5153</v>
      </c>
      <c r="CH19" s="58" t="n">
        <f aca="false">SUM(CH14:CH18)</f>
        <v>28419557354.2949</v>
      </c>
      <c r="CI19" s="58" t="n">
        <f aca="false">SUM(CI14:CI18)</f>
        <v>31880460147.8143</v>
      </c>
      <c r="CJ19" s="58" t="n">
        <f aca="false">SUM(CJ14:CJ18)</f>
        <v>27129560425.7566</v>
      </c>
      <c r="CK19" s="58" t="n">
        <f aca="false">SUM(CK14:CK18)</f>
        <v>28506860329.035</v>
      </c>
      <c r="CL19" s="58" t="n">
        <f aca="false">SUM(CL14:CL18)</f>
        <v>27921967279.046</v>
      </c>
      <c r="CM19" s="58" t="n">
        <f aca="false">SUM(CM14:CM18)</f>
        <v>27357375237.0293</v>
      </c>
      <c r="CN19" s="58" t="n">
        <f aca="false">SUM(CN14:CN18)</f>
        <v>27962569294.9904</v>
      </c>
      <c r="CO19" s="58" t="n">
        <f aca="false">SUM(CO14:CO18)</f>
        <v>28527161337.0072</v>
      </c>
      <c r="CP19" s="58" t="n">
        <f aca="false">SUM(CP14:CP18)</f>
        <v>27942268287.0183</v>
      </c>
      <c r="CQ19" s="58" t="n">
        <f aca="false">SUM(CQ14:CQ18)</f>
        <v>27357375237.0293</v>
      </c>
      <c r="CR19" s="58" t="n">
        <f aca="false">SUM(CR14:CR18)</f>
        <v>27962569294.9904</v>
      </c>
      <c r="CS19" s="58" t="n">
        <f aca="false">SUM(CS14:CS18)</f>
        <v>27377676245.0014</v>
      </c>
      <c r="CT19" s="58" t="n">
        <f aca="false">SUM(CT14:CT18)</f>
        <v>28725226430.5645</v>
      </c>
    </row>
    <row r="21" customFormat="false" ht="15" hidden="false" customHeight="true" outlineLevel="0" collapsed="false">
      <c r="B21" s="56" t="s">
        <v>599</v>
      </c>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row>
    <row r="22" customFormat="false" ht="15" hidden="false" customHeight="true" outlineLevel="0" collapsed="false">
      <c r="B22" s="19" t="s">
        <v>600</v>
      </c>
      <c r="C22" s="57" t="n">
        <f aca="false">('Gastos objeto'!C8+'Gastos objeto'!C9)*(1-Supuestos!$C$81)</f>
        <v>6523695221.45569</v>
      </c>
      <c r="D22" s="57" t="n">
        <f aca="false">('Gastos objeto'!D8+'Gastos objeto'!D9)*(1-Supuestos!$C$81)</f>
        <v>6523695221.45569</v>
      </c>
      <c r="E22" s="57" t="n">
        <f aca="false">('Gastos objeto'!E8+'Gastos objeto'!E9)*(1-Supuestos!$C$81)</f>
        <v>6523695221.45569</v>
      </c>
      <c r="F22" s="57" t="n">
        <f aca="false">('Gastos objeto'!F8+'Gastos objeto'!F9)*(1-Supuestos!$C$81)</f>
        <v>6523695221.45569</v>
      </c>
      <c r="G22" s="57" t="n">
        <f aca="false">('Gastos objeto'!G8+'Gastos objeto'!G9)*(1-Supuestos!$C$81)</f>
        <v>6523695221.45569</v>
      </c>
      <c r="H22" s="57" t="n">
        <f aca="false">('Gastos objeto'!H8+'Gastos objeto'!H9)*(1-Supuestos!$C$81)</f>
        <v>9785542832.18354</v>
      </c>
      <c r="I22" s="57" t="n">
        <f aca="false">('Gastos objeto'!I8+'Gastos objeto'!I9)*(1-Supuestos!$C$81)</f>
        <v>6523695221.45569</v>
      </c>
      <c r="J22" s="57" t="n">
        <f aca="false">('Gastos objeto'!J8+'Gastos objeto'!J9)*(1-Supuestos!$C$81)</f>
        <v>6523695221.45569</v>
      </c>
      <c r="K22" s="57" t="n">
        <f aca="false">('Gastos objeto'!K8+'Gastos objeto'!K9)*(1-Supuestos!$C$81)</f>
        <v>6523695221.45569</v>
      </c>
      <c r="L22" s="57" t="n">
        <f aca="false">('Gastos objeto'!L8+'Gastos objeto'!L9)*(1-Supuestos!$C$81)</f>
        <v>6523695221.45569</v>
      </c>
      <c r="M22" s="57" t="n">
        <f aca="false">('Gastos objeto'!M8+'Gastos objeto'!M9)*(1-Supuestos!$C$81)</f>
        <v>6523695221.45569</v>
      </c>
      <c r="N22" s="57" t="n">
        <f aca="false">('Gastos objeto'!N8+'Gastos objeto'!N9)*(1-Supuestos!$C$81)</f>
        <v>9785542832.18354</v>
      </c>
      <c r="O22" s="57" t="n">
        <f aca="false">('Gastos objeto'!O8+'Gastos objeto'!O9)*(1-Supuestos!$C$81)</f>
        <v>6523695221.45569</v>
      </c>
      <c r="P22" s="57" t="n">
        <f aca="false">('Gastos objeto'!P8+'Gastos objeto'!P9)*(1-Supuestos!$C$81)</f>
        <v>6523695221.45569</v>
      </c>
      <c r="Q22" s="57" t="n">
        <f aca="false">('Gastos objeto'!Q8+'Gastos objeto'!Q9)*(1-Supuestos!$C$81)</f>
        <v>6523695221.45569</v>
      </c>
      <c r="R22" s="57" t="n">
        <f aca="false">('Gastos objeto'!R8+'Gastos objeto'!R9)*(1-Supuestos!$C$81)</f>
        <v>6523695221.45569</v>
      </c>
      <c r="S22" s="57" t="n">
        <f aca="false">('Gastos objeto'!S8+'Gastos objeto'!S9)*(1-Supuestos!$C$81)</f>
        <v>6523695221.45569</v>
      </c>
      <c r="T22" s="57" t="n">
        <f aca="false">('Gastos objeto'!T8+'Gastos objeto'!T9)*(1-Supuestos!$C$81)</f>
        <v>9785542832.18354</v>
      </c>
      <c r="U22" s="57" t="n">
        <f aca="false">('Gastos objeto'!U8+'Gastos objeto'!U9)*(1-Supuestos!$C$81)</f>
        <v>6523695221.45569</v>
      </c>
      <c r="V22" s="57" t="n">
        <f aca="false">('Gastos objeto'!V8+'Gastos objeto'!V9)*(1-Supuestos!$C$81)</f>
        <v>6523695221.45569</v>
      </c>
      <c r="W22" s="57" t="n">
        <f aca="false">('Gastos objeto'!W8+'Gastos objeto'!W9)*(1-Supuestos!$C$81)</f>
        <v>6523695221.45569</v>
      </c>
      <c r="X22" s="57" t="n">
        <f aca="false">('Gastos objeto'!X8+'Gastos objeto'!X9)*(1-Supuestos!$C$81)</f>
        <v>6523695221.45569</v>
      </c>
      <c r="Y22" s="57" t="n">
        <f aca="false">('Gastos objeto'!Y8+'Gastos objeto'!Y9)*(1-Supuestos!$C$81)</f>
        <v>6523695221.45569</v>
      </c>
      <c r="Z22" s="57" t="n">
        <f aca="false">('Gastos objeto'!Z8+'Gastos objeto'!Z9)*(1-Supuestos!$C$81)</f>
        <v>9785542832.18354</v>
      </c>
      <c r="AA22" s="57" t="n">
        <f aca="false">('Gastos objeto'!AA8+'Gastos objeto'!AA9)*(1-Supuestos!$C$81)</f>
        <v>6523695221.45569</v>
      </c>
      <c r="AB22" s="57" t="n">
        <f aca="false">('Gastos objeto'!AB8+'Gastos objeto'!AB9)*(1-Supuestos!$C$81)</f>
        <v>6523695221.45569</v>
      </c>
      <c r="AC22" s="57" t="n">
        <f aca="false">('Gastos objeto'!AC8+'Gastos objeto'!AC9)*(1-Supuestos!$C$81)</f>
        <v>6523695221.45569</v>
      </c>
      <c r="AD22" s="57" t="n">
        <f aca="false">('Gastos objeto'!AD8+'Gastos objeto'!AD9)*(1-Supuestos!$C$81)</f>
        <v>6523695221.45569</v>
      </c>
      <c r="AE22" s="57" t="n">
        <f aca="false">('Gastos objeto'!AE8+'Gastos objeto'!AE9)*(1-Supuestos!$C$81)</f>
        <v>6523695221.45569</v>
      </c>
      <c r="AF22" s="57" t="n">
        <f aca="false">('Gastos objeto'!AF8+'Gastos objeto'!AF9)*(1-Supuestos!$C$81)</f>
        <v>9785542832.18354</v>
      </c>
      <c r="AG22" s="57" t="n">
        <f aca="false">('Gastos objeto'!AG8+'Gastos objeto'!AG9)*(1-Supuestos!$C$81)</f>
        <v>6523695221.45569</v>
      </c>
      <c r="AH22" s="57" t="n">
        <f aca="false">('Gastos objeto'!AH8+'Gastos objeto'!AH9)*(1-Supuestos!$C$81)</f>
        <v>6523695221.45569</v>
      </c>
      <c r="AI22" s="57" t="n">
        <f aca="false">('Gastos objeto'!AI8+'Gastos objeto'!AI9)*(1-Supuestos!$C$81)</f>
        <v>6523695221.45569</v>
      </c>
      <c r="AJ22" s="57" t="n">
        <f aca="false">('Gastos objeto'!AJ8+'Gastos objeto'!AJ9)*(1-Supuestos!$C$81)</f>
        <v>6523695221.45569</v>
      </c>
      <c r="AK22" s="57" t="n">
        <f aca="false">('Gastos objeto'!AK8+'Gastos objeto'!AK9)*(1-Supuestos!$C$81)</f>
        <v>6523695221.45569</v>
      </c>
      <c r="AL22" s="57" t="n">
        <f aca="false">('Gastos objeto'!AL8+'Gastos objeto'!AL9)*(1-Supuestos!$C$81)</f>
        <v>9785542832.18354</v>
      </c>
      <c r="AM22" s="57" t="n">
        <f aca="false">('Gastos objeto'!AM8+'Gastos objeto'!AM9)*(1-Supuestos!$C$81)</f>
        <v>6523695221.45569</v>
      </c>
      <c r="AN22" s="57" t="n">
        <f aca="false">('Gastos objeto'!AN8+'Gastos objeto'!AN9)*(1-Supuestos!$C$81)</f>
        <v>6523695221.45569</v>
      </c>
      <c r="AO22" s="57" t="n">
        <f aca="false">('Gastos objeto'!AO8+'Gastos objeto'!AO9)*(1-Supuestos!$C$81)</f>
        <v>6523695221.45569</v>
      </c>
      <c r="AP22" s="57" t="n">
        <f aca="false">('Gastos objeto'!AP8+'Gastos objeto'!AP9)*(1-Supuestos!$C$81)</f>
        <v>6523695221.45569</v>
      </c>
      <c r="AQ22" s="57" t="n">
        <f aca="false">('Gastos objeto'!AQ8+'Gastos objeto'!AQ9)*(1-Supuestos!$C$81)</f>
        <v>6523695221.45569</v>
      </c>
      <c r="AR22" s="57" t="n">
        <f aca="false">('Gastos objeto'!AR8+'Gastos objeto'!AR9)*(1-Supuestos!$C$81)</f>
        <v>9785542832.18354</v>
      </c>
      <c r="AS22" s="57" t="n">
        <f aca="false">('Gastos objeto'!AS8+'Gastos objeto'!AS9)*(1-Supuestos!$C$81)</f>
        <v>6523695221.45569</v>
      </c>
      <c r="AT22" s="57" t="n">
        <f aca="false">('Gastos objeto'!AT8+'Gastos objeto'!AT9)*(1-Supuestos!$C$81)</f>
        <v>6523695221.45569</v>
      </c>
      <c r="AU22" s="57" t="n">
        <f aca="false">('Gastos objeto'!AU8+'Gastos objeto'!AU9)*(1-Supuestos!$C$81)</f>
        <v>6523695221.45569</v>
      </c>
      <c r="AV22" s="57" t="n">
        <f aca="false">('Gastos objeto'!AV8+'Gastos objeto'!AV9)*(1-Supuestos!$C$81)</f>
        <v>6523695221.45569</v>
      </c>
      <c r="AW22" s="57" t="n">
        <f aca="false">('Gastos objeto'!AW8+'Gastos objeto'!AW9)*(1-Supuestos!$C$81)</f>
        <v>6523695221.45569</v>
      </c>
      <c r="AX22" s="57" t="n">
        <f aca="false">('Gastos objeto'!AX8+'Gastos objeto'!AX9)*(1-Supuestos!$C$81)</f>
        <v>9785542832.18354</v>
      </c>
      <c r="AY22" s="57" t="n">
        <f aca="false">('Gastos objeto'!AY8+'Gastos objeto'!AY9)*(1-Supuestos!$C$81)</f>
        <v>6523695221.45569</v>
      </c>
      <c r="AZ22" s="57" t="n">
        <f aca="false">('Gastos objeto'!AZ8+'Gastos objeto'!AZ9)*(1-Supuestos!$C$81)</f>
        <v>6523695221.45569</v>
      </c>
      <c r="BA22" s="57" t="n">
        <f aca="false">('Gastos objeto'!BA8+'Gastos objeto'!BA9)*(1-Supuestos!$C$81)</f>
        <v>6523695221.45569</v>
      </c>
      <c r="BB22" s="57" t="n">
        <f aca="false">('Gastos objeto'!BB8+'Gastos objeto'!BB9)*(1-Supuestos!$C$81)</f>
        <v>6523695221.45569</v>
      </c>
      <c r="BC22" s="57" t="n">
        <f aca="false">('Gastos objeto'!BC8+'Gastos objeto'!BC9)*(1-Supuestos!$C$81)</f>
        <v>6523695221.45569</v>
      </c>
      <c r="BD22" s="57" t="n">
        <f aca="false">('Gastos objeto'!BD8+'Gastos objeto'!BD9)*(1-Supuestos!$C$81)</f>
        <v>9785542832.18354</v>
      </c>
      <c r="BE22" s="57" t="n">
        <f aca="false">('Gastos objeto'!BE8+'Gastos objeto'!BE9)*(1-Supuestos!$C$81)</f>
        <v>6523695221.45569</v>
      </c>
      <c r="BF22" s="57" t="n">
        <f aca="false">('Gastos objeto'!BF8+'Gastos objeto'!BF9)*(1-Supuestos!$C$81)</f>
        <v>6523695221.45569</v>
      </c>
      <c r="BG22" s="57" t="n">
        <f aca="false">('Gastos objeto'!BG8+'Gastos objeto'!BG9)*(1-Supuestos!$C$81)</f>
        <v>6523695221.45569</v>
      </c>
      <c r="BH22" s="57" t="n">
        <f aca="false">('Gastos objeto'!BH8+'Gastos objeto'!BH9)*(1-Supuestos!$C$81)</f>
        <v>6523695221.45569</v>
      </c>
      <c r="BI22" s="57" t="n">
        <f aca="false">('Gastos objeto'!BI8+'Gastos objeto'!BI9)*(1-Supuestos!$C$81)</f>
        <v>6523695221.45569</v>
      </c>
      <c r="BJ22" s="57" t="n">
        <f aca="false">('Gastos objeto'!BJ8+'Gastos objeto'!BJ9)*(1-Supuestos!$C$81)</f>
        <v>9785542832.18354</v>
      </c>
      <c r="BK22" s="57" t="n">
        <f aca="false">('Gastos objeto'!BK8+'Gastos objeto'!BK9)*(1-Supuestos!$C$81)</f>
        <v>6523695221.45569</v>
      </c>
      <c r="BL22" s="57" t="n">
        <f aca="false">('Gastos objeto'!BL8+'Gastos objeto'!BL9)*(1-Supuestos!$C$81)</f>
        <v>6523695221.45569</v>
      </c>
      <c r="BM22" s="57" t="n">
        <f aca="false">('Gastos objeto'!BM8+'Gastos objeto'!BM9)*(1-Supuestos!$C$81)</f>
        <v>6523695221.45569</v>
      </c>
      <c r="BN22" s="57" t="n">
        <f aca="false">('Gastos objeto'!BN8+'Gastos objeto'!BN9)*(1-Supuestos!$C$81)</f>
        <v>6523695221.45569</v>
      </c>
      <c r="BO22" s="57" t="n">
        <f aca="false">('Gastos objeto'!BO8+'Gastos objeto'!BO9)*(1-Supuestos!$C$81)</f>
        <v>6523695221.45569</v>
      </c>
      <c r="BP22" s="57" t="n">
        <f aca="false">('Gastos objeto'!BP8+'Gastos objeto'!BP9)*(1-Supuestos!$C$81)</f>
        <v>9785542832.18354</v>
      </c>
      <c r="BQ22" s="57" t="n">
        <f aca="false">('Gastos objeto'!BQ8+'Gastos objeto'!BQ9)*(1-Supuestos!$C$81)</f>
        <v>6523695221.45569</v>
      </c>
      <c r="BR22" s="57" t="n">
        <f aca="false">('Gastos objeto'!BR8+'Gastos objeto'!BR9)*(1-Supuestos!$C$81)</f>
        <v>6523695221.45569</v>
      </c>
      <c r="BS22" s="57" t="n">
        <f aca="false">('Gastos objeto'!BS8+'Gastos objeto'!BS9)*(1-Supuestos!$C$81)</f>
        <v>6523695221.45569</v>
      </c>
      <c r="BT22" s="57" t="n">
        <f aca="false">('Gastos objeto'!BT8+'Gastos objeto'!BT9)*(1-Supuestos!$C$81)</f>
        <v>6523695221.45569</v>
      </c>
      <c r="BU22" s="57" t="n">
        <f aca="false">('Gastos objeto'!BU8+'Gastos objeto'!BU9)*(1-Supuestos!$C$81)</f>
        <v>6523695221.45569</v>
      </c>
      <c r="BV22" s="57" t="n">
        <f aca="false">('Gastos objeto'!BV8+'Gastos objeto'!BV9)*(1-Supuestos!$C$81)</f>
        <v>9785542832.18354</v>
      </c>
      <c r="BW22" s="57" t="n">
        <f aca="false">('Gastos objeto'!BW8+'Gastos objeto'!BW9)*(1-Supuestos!$C$81)</f>
        <v>6523695221.45569</v>
      </c>
      <c r="BX22" s="57" t="n">
        <f aca="false">('Gastos objeto'!BX8+'Gastos objeto'!BX9)*(1-Supuestos!$C$81)</f>
        <v>6523695221.45569</v>
      </c>
      <c r="BY22" s="57" t="n">
        <f aca="false">('Gastos objeto'!BY8+'Gastos objeto'!BY9)*(1-Supuestos!$C$81)</f>
        <v>6523695221.45569</v>
      </c>
      <c r="BZ22" s="57" t="n">
        <f aca="false">('Gastos objeto'!BZ8+'Gastos objeto'!BZ9)*(1-Supuestos!$C$81)</f>
        <v>6523695221.45569</v>
      </c>
      <c r="CA22" s="57" t="n">
        <f aca="false">('Gastos objeto'!CA8+'Gastos objeto'!CA9)*(1-Supuestos!$C$81)</f>
        <v>6523695221.45569</v>
      </c>
      <c r="CB22" s="57" t="n">
        <f aca="false">('Gastos objeto'!CB8+'Gastos objeto'!CB9)*(1-Supuestos!$C$81)</f>
        <v>9785542832.18354</v>
      </c>
      <c r="CC22" s="57" t="n">
        <f aca="false">('Gastos objeto'!CC8+'Gastos objeto'!CC9)*(1-Supuestos!$C$81)</f>
        <v>6523695221.45569</v>
      </c>
      <c r="CD22" s="57" t="n">
        <f aca="false">('Gastos objeto'!CD8+'Gastos objeto'!CD9)*(1-Supuestos!$C$81)</f>
        <v>6523695221.45569</v>
      </c>
      <c r="CE22" s="57" t="n">
        <f aca="false">('Gastos objeto'!CE8+'Gastos objeto'!CE9)*(1-Supuestos!$C$81)</f>
        <v>6523695221.45569</v>
      </c>
      <c r="CF22" s="57" t="n">
        <f aca="false">('Gastos objeto'!CF8+'Gastos objeto'!CF9)*(1-Supuestos!$C$81)</f>
        <v>6523695221.45569</v>
      </c>
      <c r="CG22" s="57" t="n">
        <f aca="false">('Gastos objeto'!CG8+'Gastos objeto'!CG9)*(1-Supuestos!$C$81)</f>
        <v>6523695221.45569</v>
      </c>
      <c r="CH22" s="57" t="n">
        <f aca="false">('Gastos objeto'!CH8+'Gastos objeto'!CH9)*(1-Supuestos!$C$81)</f>
        <v>9785542832.18354</v>
      </c>
      <c r="CI22" s="57" t="n">
        <f aca="false">('Gastos objeto'!CI8+'Gastos objeto'!CI9)*(1-Supuestos!$C$81)</f>
        <v>6523695221.45569</v>
      </c>
      <c r="CJ22" s="57" t="n">
        <f aca="false">('Gastos objeto'!CJ8+'Gastos objeto'!CJ9)*(1-Supuestos!$C$81)</f>
        <v>6523695221.45569</v>
      </c>
      <c r="CK22" s="57" t="n">
        <f aca="false">('Gastos objeto'!CK8+'Gastos objeto'!CK9)*(1-Supuestos!$C$81)</f>
        <v>6523695221.45569</v>
      </c>
      <c r="CL22" s="57" t="n">
        <f aca="false">('Gastos objeto'!CL8+'Gastos objeto'!CL9)*(1-Supuestos!$C$81)</f>
        <v>6523695221.45569</v>
      </c>
      <c r="CM22" s="57" t="n">
        <f aca="false">('Gastos objeto'!CM8+'Gastos objeto'!CM9)*(1-Supuestos!$C$81)</f>
        <v>6523695221.45569</v>
      </c>
      <c r="CN22" s="57" t="n">
        <f aca="false">('Gastos objeto'!CN8+'Gastos objeto'!CN9)*(1-Supuestos!$C$81)</f>
        <v>9785542832.18354</v>
      </c>
      <c r="CO22" s="57" t="n">
        <f aca="false">('Gastos objeto'!CO8+'Gastos objeto'!CO9)*(1-Supuestos!$C$81)</f>
        <v>6523695221.45569</v>
      </c>
      <c r="CP22" s="57" t="n">
        <f aca="false">('Gastos objeto'!CP8+'Gastos objeto'!CP9)*(1-Supuestos!$C$81)</f>
        <v>6523695221.45569</v>
      </c>
      <c r="CQ22" s="57" t="n">
        <f aca="false">('Gastos objeto'!CQ8+'Gastos objeto'!CQ9)*(1-Supuestos!$C$81)</f>
        <v>6523695221.45569</v>
      </c>
      <c r="CR22" s="57" t="n">
        <f aca="false">('Gastos objeto'!CR8+'Gastos objeto'!CR9)*(1-Supuestos!$C$81)</f>
        <v>6523695221.45569</v>
      </c>
      <c r="CS22" s="57" t="n">
        <f aca="false">('Gastos objeto'!CS8+'Gastos objeto'!CS9)*(1-Supuestos!$C$81)</f>
        <v>6523695221.45569</v>
      </c>
      <c r="CT22" s="57" t="n">
        <f aca="false">('Gastos objeto'!CT8+'Gastos objeto'!CT9)*(1-Supuestos!$C$81)</f>
        <v>9785542832.18354</v>
      </c>
    </row>
    <row r="23" customFormat="false" ht="15" hidden="false" customHeight="true" outlineLevel="0" collapsed="false">
      <c r="B23" s="19" t="s">
        <v>601</v>
      </c>
      <c r="C23" s="57" t="n">
        <f aca="false">'Gastos objeto'!C21*(1-Supuestos!$C$82-Supuestos!$C$95)</f>
        <v>10856898602.6949</v>
      </c>
      <c r="D23" s="57" t="n">
        <f aca="false">'Gastos objeto'!D21*(1-Supuestos!$C$82-Supuestos!$C$95)</f>
        <v>11134105858.6766</v>
      </c>
      <c r="E23" s="57" t="n">
        <f aca="false">'Gastos objeto'!E21*(1-Supuestos!$C$82-Supuestos!$C$95)</f>
        <v>11134105858.6766</v>
      </c>
      <c r="F23" s="57" t="n">
        <f aca="false">'Gastos objeto'!F21*(1-Supuestos!$C$82-Supuestos!$C$95)</f>
        <v>11517936738.2882</v>
      </c>
      <c r="G23" s="57" t="n">
        <f aca="false">'Gastos objeto'!G21*(1-Supuestos!$C$82-Supuestos!$C$95)</f>
        <v>11517936738.2882</v>
      </c>
      <c r="H23" s="57" t="n">
        <f aca="false">'Gastos objeto'!H21*(1-Supuestos!$C$82-Supuestos!$C$95)</f>
        <v>11517936738.2882</v>
      </c>
      <c r="I23" s="57" t="n">
        <f aca="false">'Gastos objeto'!I21*(1-Supuestos!$C$82-Supuestos!$C$95)</f>
        <v>11517936738.2882</v>
      </c>
      <c r="J23" s="57" t="n">
        <f aca="false">'Gastos objeto'!J21*(1-Supuestos!$C$82-Supuestos!$C$95)</f>
        <v>11517936738.2882</v>
      </c>
      <c r="K23" s="57" t="n">
        <f aca="false">'Gastos objeto'!K21*(1-Supuestos!$C$82-Supuestos!$C$95)</f>
        <v>11517936738.2882</v>
      </c>
      <c r="L23" s="57" t="n">
        <f aca="false">'Gastos objeto'!L21*(1-Supuestos!$C$82-Supuestos!$C$95)</f>
        <v>11517936738.2882</v>
      </c>
      <c r="M23" s="57" t="n">
        <f aca="false">'Gastos objeto'!M21*(1-Supuestos!$C$82-Supuestos!$C$95)</f>
        <v>11560582646.3762</v>
      </c>
      <c r="N23" s="57" t="n">
        <f aca="false">'Gastos objeto'!N21*(1-Supuestos!$C$82-Supuestos!$C$95)</f>
        <v>11560582646.3762</v>
      </c>
      <c r="O23" s="57" t="n">
        <f aca="false">'Gastos objeto'!O21*(1-Supuestos!$C$82-Supuestos!$C$95)</f>
        <v>10942190418.8708</v>
      </c>
      <c r="P23" s="57" t="n">
        <f aca="false">'Gastos objeto'!P21*(1-Supuestos!$C$82-Supuestos!$C$95)</f>
        <v>11015807523.5219</v>
      </c>
      <c r="Q23" s="57" t="n">
        <f aca="false">'Gastos objeto'!Q21*(1-Supuestos!$C$82-Supuestos!$C$95)</f>
        <v>11293014779.5037</v>
      </c>
      <c r="R23" s="57" t="n">
        <f aca="false">'Gastos objeto'!R21*(1-Supuestos!$C$82-Supuestos!$C$95)</f>
        <v>11676845659.1153</v>
      </c>
      <c r="S23" s="57" t="n">
        <f aca="false">'Gastos objeto'!S21*(1-Supuestos!$C$82-Supuestos!$C$95)</f>
        <v>11676845659.1153</v>
      </c>
      <c r="T23" s="57" t="n">
        <f aca="false">'Gastos objeto'!T21*(1-Supuestos!$C$82-Supuestos!$C$95)</f>
        <v>11676845659.1153</v>
      </c>
      <c r="U23" s="57" t="n">
        <f aca="false">'Gastos objeto'!U21*(1-Supuestos!$C$82-Supuestos!$C$95)</f>
        <v>11676845659.1153</v>
      </c>
      <c r="V23" s="57" t="n">
        <f aca="false">'Gastos objeto'!V21*(1-Supuestos!$C$82-Supuestos!$C$95)</f>
        <v>11676845659.1153</v>
      </c>
      <c r="W23" s="57" t="n">
        <f aca="false">'Gastos objeto'!W21*(1-Supuestos!$C$82-Supuestos!$C$95)</f>
        <v>11676845659.1153</v>
      </c>
      <c r="X23" s="57" t="n">
        <f aca="false">'Gastos objeto'!X21*(1-Supuestos!$C$82-Supuestos!$C$95)</f>
        <v>11676845659.1153</v>
      </c>
      <c r="Y23" s="57" t="n">
        <f aca="false">'Gastos objeto'!Y21*(1-Supuestos!$C$82-Supuestos!$C$95)</f>
        <v>11719491567.2033</v>
      </c>
      <c r="Z23" s="57" t="n">
        <f aca="false">'Gastos objeto'!Z21*(1-Supuestos!$C$82-Supuestos!$C$95)</f>
        <v>11719491567.2033</v>
      </c>
      <c r="AA23" s="57" t="n">
        <f aca="false">'Gastos objeto'!AA21*(1-Supuestos!$C$82-Supuestos!$C$95)</f>
        <v>11101099339.6979</v>
      </c>
      <c r="AB23" s="57" t="n">
        <f aca="false">'Gastos objeto'!AB21*(1-Supuestos!$C$82-Supuestos!$C$95)</f>
        <v>11161064029.0946</v>
      </c>
      <c r="AC23" s="57" t="n">
        <f aca="false">'Gastos objeto'!AC21*(1-Supuestos!$C$82-Supuestos!$C$95)</f>
        <v>11438271285.0764</v>
      </c>
      <c r="AD23" s="57" t="n">
        <f aca="false">'Gastos objeto'!AD21*(1-Supuestos!$C$82-Supuestos!$C$95)</f>
        <v>11822102164.688</v>
      </c>
      <c r="AE23" s="57" t="n">
        <f aca="false">'Gastos objeto'!AE21*(1-Supuestos!$C$82-Supuestos!$C$95)</f>
        <v>11822102164.688</v>
      </c>
      <c r="AF23" s="57" t="n">
        <f aca="false">'Gastos objeto'!AF21*(1-Supuestos!$C$82-Supuestos!$C$95)</f>
        <v>11822102164.688</v>
      </c>
      <c r="AG23" s="57" t="n">
        <f aca="false">'Gastos objeto'!AG21*(1-Supuestos!$C$82-Supuestos!$C$95)</f>
        <v>11822102164.688</v>
      </c>
      <c r="AH23" s="57" t="n">
        <f aca="false">'Gastos objeto'!AH21*(1-Supuestos!$C$82-Supuestos!$C$95)</f>
        <v>11822102164.688</v>
      </c>
      <c r="AI23" s="57" t="n">
        <f aca="false">'Gastos objeto'!AI21*(1-Supuestos!$C$82-Supuestos!$C$95)</f>
        <v>11822102164.688</v>
      </c>
      <c r="AJ23" s="57" t="n">
        <f aca="false">'Gastos objeto'!AJ21*(1-Supuestos!$C$82-Supuestos!$C$95)</f>
        <v>11822102164.688</v>
      </c>
      <c r="AK23" s="57" t="n">
        <f aca="false">'Gastos objeto'!AK21*(1-Supuestos!$C$82-Supuestos!$C$95)</f>
        <v>11864748072.7759</v>
      </c>
      <c r="AL23" s="57" t="n">
        <f aca="false">'Gastos objeto'!AL21*(1-Supuestos!$C$82-Supuestos!$C$95)</f>
        <v>11864748072.7759</v>
      </c>
      <c r="AM23" s="57" t="n">
        <f aca="false">'Gastos objeto'!AM21*(1-Supuestos!$C$82-Supuestos!$C$95)</f>
        <v>11246355845.2706</v>
      </c>
      <c r="AN23" s="57" t="n">
        <f aca="false">'Gastos objeto'!AN21*(1-Supuestos!$C$82-Supuestos!$C$95)</f>
        <v>11206445641.247</v>
      </c>
      <c r="AO23" s="57" t="n">
        <f aca="false">'Gastos objeto'!AO21*(1-Supuestos!$C$82-Supuestos!$C$95)</f>
        <v>11483652897.2287</v>
      </c>
      <c r="AP23" s="57" t="n">
        <f aca="false">'Gastos objeto'!AP21*(1-Supuestos!$C$82-Supuestos!$C$95)</f>
        <v>11867483776.8403</v>
      </c>
      <c r="AQ23" s="57" t="n">
        <f aca="false">'Gastos objeto'!AQ21*(1-Supuestos!$C$82-Supuestos!$C$95)</f>
        <v>11867483776.8403</v>
      </c>
      <c r="AR23" s="57" t="n">
        <f aca="false">'Gastos objeto'!AR21*(1-Supuestos!$C$82-Supuestos!$C$95)</f>
        <v>11867483776.8403</v>
      </c>
      <c r="AS23" s="57" t="n">
        <f aca="false">'Gastos objeto'!AS21*(1-Supuestos!$C$82-Supuestos!$C$95)</f>
        <v>11867483776.8403</v>
      </c>
      <c r="AT23" s="57" t="n">
        <f aca="false">'Gastos objeto'!AT21*(1-Supuestos!$C$82-Supuestos!$C$95)</f>
        <v>11867483776.8403</v>
      </c>
      <c r="AU23" s="57" t="n">
        <f aca="false">'Gastos objeto'!AU21*(1-Supuestos!$C$82-Supuestos!$C$95)</f>
        <v>11867483776.8403</v>
      </c>
      <c r="AV23" s="57" t="n">
        <f aca="false">'Gastos objeto'!AV21*(1-Supuestos!$C$82-Supuestos!$C$95)</f>
        <v>11867483776.8403</v>
      </c>
      <c r="AW23" s="57" t="n">
        <f aca="false">'Gastos objeto'!AW21*(1-Supuestos!$C$82-Supuestos!$C$95)</f>
        <v>11910129684.9283</v>
      </c>
      <c r="AX23" s="57" t="n">
        <f aca="false">'Gastos objeto'!AX21*(1-Supuestos!$C$82-Supuestos!$C$95)</f>
        <v>11910129684.9283</v>
      </c>
      <c r="AY23" s="57" t="n">
        <f aca="false">'Gastos objeto'!AY21*(1-Supuestos!$C$82-Supuestos!$C$95)</f>
        <v>11291737457.4229</v>
      </c>
      <c r="AZ23" s="57" t="n">
        <f aca="false">'Gastos objeto'!AZ21*(1-Supuestos!$C$82-Supuestos!$C$95)</f>
        <v>11206445641.247</v>
      </c>
      <c r="BA23" s="57" t="n">
        <f aca="false">'Gastos objeto'!BA21*(1-Supuestos!$C$82-Supuestos!$C$95)</f>
        <v>11483652897.2287</v>
      </c>
      <c r="BB23" s="57" t="n">
        <f aca="false">'Gastos objeto'!BB21*(1-Supuestos!$C$82-Supuestos!$C$95)</f>
        <v>11867483776.8403</v>
      </c>
      <c r="BC23" s="57" t="n">
        <f aca="false">'Gastos objeto'!BC21*(1-Supuestos!$C$82-Supuestos!$C$95)</f>
        <v>11867483776.8403</v>
      </c>
      <c r="BD23" s="57" t="n">
        <f aca="false">'Gastos objeto'!BD21*(1-Supuestos!$C$82-Supuestos!$C$95)</f>
        <v>11867483776.8403</v>
      </c>
      <c r="BE23" s="57" t="n">
        <f aca="false">'Gastos objeto'!BE21*(1-Supuestos!$C$82-Supuestos!$C$95)</f>
        <v>11867483776.8403</v>
      </c>
      <c r="BF23" s="57" t="n">
        <f aca="false">'Gastos objeto'!BF21*(1-Supuestos!$C$82-Supuestos!$C$95)</f>
        <v>11867483776.8403</v>
      </c>
      <c r="BG23" s="57" t="n">
        <f aca="false">'Gastos objeto'!BG21*(1-Supuestos!$C$82-Supuestos!$C$95)</f>
        <v>11867483776.8403</v>
      </c>
      <c r="BH23" s="57" t="n">
        <f aca="false">'Gastos objeto'!BH21*(1-Supuestos!$C$82-Supuestos!$C$95)</f>
        <v>11867483776.8403</v>
      </c>
      <c r="BI23" s="57" t="n">
        <f aca="false">'Gastos objeto'!BI21*(1-Supuestos!$C$82-Supuestos!$C$95)</f>
        <v>11910129684.9283</v>
      </c>
      <c r="BJ23" s="57" t="n">
        <f aca="false">'Gastos objeto'!BJ21*(1-Supuestos!$C$82-Supuestos!$C$95)</f>
        <v>11910129684.9283</v>
      </c>
      <c r="BK23" s="57" t="n">
        <f aca="false">'Gastos objeto'!BK21*(1-Supuestos!$C$82-Supuestos!$C$95)</f>
        <v>11291737457.4229</v>
      </c>
      <c r="BL23" s="57" t="n">
        <f aca="false">'Gastos objeto'!BL21*(1-Supuestos!$C$82-Supuestos!$C$95)</f>
        <v>11206445641.247</v>
      </c>
      <c r="BM23" s="57" t="n">
        <f aca="false">'Gastos objeto'!BM21*(1-Supuestos!$C$82-Supuestos!$C$95)</f>
        <v>11483652897.2287</v>
      </c>
      <c r="BN23" s="57" t="n">
        <f aca="false">'Gastos objeto'!BN21*(1-Supuestos!$C$82-Supuestos!$C$95)</f>
        <v>11867483776.8403</v>
      </c>
      <c r="BO23" s="57" t="n">
        <f aca="false">'Gastos objeto'!BO21*(1-Supuestos!$C$82-Supuestos!$C$95)</f>
        <v>11867483776.8403</v>
      </c>
      <c r="BP23" s="57" t="n">
        <f aca="false">'Gastos objeto'!BP21*(1-Supuestos!$C$82-Supuestos!$C$95)</f>
        <v>11867483776.8403</v>
      </c>
      <c r="BQ23" s="57" t="n">
        <f aca="false">'Gastos objeto'!BQ21*(1-Supuestos!$C$82-Supuestos!$C$95)</f>
        <v>11867483776.8403</v>
      </c>
      <c r="BR23" s="57" t="n">
        <f aca="false">'Gastos objeto'!BR21*(1-Supuestos!$C$82-Supuestos!$C$95)</f>
        <v>11867483776.8403</v>
      </c>
      <c r="BS23" s="57" t="n">
        <f aca="false">'Gastos objeto'!BS21*(1-Supuestos!$C$82-Supuestos!$C$95)</f>
        <v>11867483776.8403</v>
      </c>
      <c r="BT23" s="57" t="n">
        <f aca="false">'Gastos objeto'!BT21*(1-Supuestos!$C$82-Supuestos!$C$95)</f>
        <v>11867483776.8403</v>
      </c>
      <c r="BU23" s="57" t="n">
        <f aca="false">'Gastos objeto'!BU21*(1-Supuestos!$C$82-Supuestos!$C$95)</f>
        <v>11910129684.9283</v>
      </c>
      <c r="BV23" s="57" t="n">
        <f aca="false">'Gastos objeto'!BV21*(1-Supuestos!$C$82-Supuestos!$C$95)</f>
        <v>11910129684.9283</v>
      </c>
      <c r="BW23" s="57" t="n">
        <f aca="false">'Gastos objeto'!BW21*(1-Supuestos!$C$82-Supuestos!$C$95)</f>
        <v>11291737457.4229</v>
      </c>
      <c r="BX23" s="57" t="n">
        <f aca="false">'Gastos objeto'!BX21*(1-Supuestos!$C$82-Supuestos!$C$95)</f>
        <v>11206445641.247</v>
      </c>
      <c r="BY23" s="57" t="n">
        <f aca="false">'Gastos objeto'!BY21*(1-Supuestos!$C$82-Supuestos!$C$95)</f>
        <v>11483652897.2287</v>
      </c>
      <c r="BZ23" s="57" t="n">
        <f aca="false">'Gastos objeto'!BZ21*(1-Supuestos!$C$82-Supuestos!$C$95)</f>
        <v>11867483776.8403</v>
      </c>
      <c r="CA23" s="57" t="n">
        <f aca="false">'Gastos objeto'!CA21*(1-Supuestos!$C$82-Supuestos!$C$95)</f>
        <v>11867483776.8403</v>
      </c>
      <c r="CB23" s="57" t="n">
        <f aca="false">'Gastos objeto'!CB21*(1-Supuestos!$C$82-Supuestos!$C$95)</f>
        <v>11867483776.8403</v>
      </c>
      <c r="CC23" s="57" t="n">
        <f aca="false">'Gastos objeto'!CC21*(1-Supuestos!$C$82-Supuestos!$C$95)</f>
        <v>11867483776.8403</v>
      </c>
      <c r="CD23" s="57" t="n">
        <f aca="false">'Gastos objeto'!CD21*(1-Supuestos!$C$82-Supuestos!$C$95)</f>
        <v>11867483776.8403</v>
      </c>
      <c r="CE23" s="57" t="n">
        <f aca="false">'Gastos objeto'!CE21*(1-Supuestos!$C$82-Supuestos!$C$95)</f>
        <v>11867483776.8403</v>
      </c>
      <c r="CF23" s="57" t="n">
        <f aca="false">'Gastos objeto'!CF21*(1-Supuestos!$C$82-Supuestos!$C$95)</f>
        <v>11867483776.8403</v>
      </c>
      <c r="CG23" s="57" t="n">
        <f aca="false">'Gastos objeto'!CG21*(1-Supuestos!$C$82-Supuestos!$C$95)</f>
        <v>11910129684.9283</v>
      </c>
      <c r="CH23" s="57" t="n">
        <f aca="false">'Gastos objeto'!CH21*(1-Supuestos!$C$82-Supuestos!$C$95)</f>
        <v>11910129684.9283</v>
      </c>
      <c r="CI23" s="57" t="n">
        <f aca="false">'Gastos objeto'!CI21*(1-Supuestos!$C$82-Supuestos!$C$95)</f>
        <v>11291737457.4229</v>
      </c>
      <c r="CJ23" s="57" t="n">
        <f aca="false">'Gastos objeto'!CJ21*(1-Supuestos!$C$82-Supuestos!$C$95)</f>
        <v>11206445641.247</v>
      </c>
      <c r="CK23" s="57" t="n">
        <f aca="false">'Gastos objeto'!CK21*(1-Supuestos!$C$82-Supuestos!$C$95)</f>
        <v>11483652897.2287</v>
      </c>
      <c r="CL23" s="57" t="n">
        <f aca="false">'Gastos objeto'!CL21*(1-Supuestos!$C$82-Supuestos!$C$95)</f>
        <v>11867483776.8403</v>
      </c>
      <c r="CM23" s="57" t="n">
        <f aca="false">'Gastos objeto'!CM21*(1-Supuestos!$C$82-Supuestos!$C$95)</f>
        <v>11867483776.8403</v>
      </c>
      <c r="CN23" s="57" t="n">
        <f aca="false">'Gastos objeto'!CN21*(1-Supuestos!$C$82-Supuestos!$C$95)</f>
        <v>11867483776.8403</v>
      </c>
      <c r="CO23" s="57" t="n">
        <f aca="false">'Gastos objeto'!CO21*(1-Supuestos!$C$82-Supuestos!$C$95)</f>
        <v>11867483776.8403</v>
      </c>
      <c r="CP23" s="57" t="n">
        <f aca="false">'Gastos objeto'!CP21*(1-Supuestos!$C$82-Supuestos!$C$95)</f>
        <v>11867483776.8403</v>
      </c>
      <c r="CQ23" s="57" t="n">
        <f aca="false">'Gastos objeto'!CQ21*(1-Supuestos!$C$82-Supuestos!$C$95)</f>
        <v>11867483776.8403</v>
      </c>
      <c r="CR23" s="57" t="n">
        <f aca="false">'Gastos objeto'!CR21*(1-Supuestos!$C$82-Supuestos!$C$95)</f>
        <v>11867483776.8403</v>
      </c>
      <c r="CS23" s="57" t="n">
        <f aca="false">'Gastos objeto'!CS21*(1-Supuestos!$C$82-Supuestos!$C$95)</f>
        <v>11910129684.9283</v>
      </c>
      <c r="CT23" s="57" t="n">
        <f aca="false">'Gastos objeto'!CT21*(1-Supuestos!$C$82-Supuestos!$C$95)</f>
        <v>11910129684.9283</v>
      </c>
    </row>
    <row r="24" customFormat="false" ht="15" hidden="false" customHeight="true" outlineLevel="0" collapsed="false">
      <c r="B24" s="19" t="s">
        <v>602</v>
      </c>
      <c r="C24" s="57" t="n">
        <f aca="false">'Gastos objeto'!C22*(1-Supuestos!$C$83)</f>
        <v>1717126567.70272</v>
      </c>
      <c r="D24" s="57" t="n">
        <f aca="false">'Gastos objeto'!D22*(1-Supuestos!$C$83)</f>
        <v>2289502090.2703</v>
      </c>
      <c r="E24" s="57" t="n">
        <f aca="false">'Gastos objeto'!E22*(1-Supuestos!$C$83)</f>
        <v>2003314328.98651</v>
      </c>
      <c r="F24" s="57" t="n">
        <f aca="false">'Gastos objeto'!F22*(1-Supuestos!$C$83)</f>
        <v>3434253135.40544</v>
      </c>
      <c r="G24" s="57" t="n">
        <f aca="false">'Gastos objeto'!G22*(1-Supuestos!$C$83)</f>
        <v>4865191941.82438</v>
      </c>
      <c r="H24" s="57" t="n">
        <f aca="false">'Gastos objeto'!H22*(1-Supuestos!$C$83)</f>
        <v>5437567464.39195</v>
      </c>
      <c r="I24" s="57" t="n">
        <f aca="false">'Gastos objeto'!I22*(1-Supuestos!$C$83)</f>
        <v>5723755225.67574</v>
      </c>
      <c r="J24" s="57" t="n">
        <f aca="false">'Gastos objeto'!J22*(1-Supuestos!$C$83)</f>
        <v>5723755225.67574</v>
      </c>
      <c r="K24" s="57" t="n">
        <f aca="false">'Gastos objeto'!K22*(1-Supuestos!$C$83)</f>
        <v>5723755225.67574</v>
      </c>
      <c r="L24" s="57" t="n">
        <f aca="false">'Gastos objeto'!L22*(1-Supuestos!$C$83)</f>
        <v>5723755225.67574</v>
      </c>
      <c r="M24" s="57" t="n">
        <f aca="false">'Gastos objeto'!M22*(1-Supuestos!$C$83)</f>
        <v>5723755225.67574</v>
      </c>
      <c r="N24" s="57" t="n">
        <f aca="false">'Gastos objeto'!N22*(1-Supuestos!$C$83)</f>
        <v>5437567464.39195</v>
      </c>
      <c r="O24" s="57" t="n">
        <f aca="false">'Gastos objeto'!O22*(1-Supuestos!$C$83)</f>
        <v>4579004180.54059</v>
      </c>
      <c r="P24" s="57" t="n">
        <f aca="false">'Gastos objeto'!P22*(1-Supuestos!$C$83)</f>
        <v>2861877612.83787</v>
      </c>
      <c r="Q24" s="57" t="n">
        <f aca="false">'Gastos objeto'!Q22*(1-Supuestos!$C$83)</f>
        <v>2003314328.98651</v>
      </c>
      <c r="R24" s="57" t="n">
        <f aca="false">'Gastos objeto'!R22*(1-Supuestos!$C$83)</f>
        <v>3434253135.40544</v>
      </c>
      <c r="S24" s="57" t="n">
        <f aca="false">'Gastos objeto'!S22*(1-Supuestos!$C$83)</f>
        <v>4865191941.82438</v>
      </c>
      <c r="T24" s="57" t="n">
        <f aca="false">'Gastos objeto'!T22*(1-Supuestos!$C$83)</f>
        <v>5437567464.39195</v>
      </c>
      <c r="U24" s="57" t="n">
        <f aca="false">'Gastos objeto'!U22*(1-Supuestos!$C$83)</f>
        <v>5723755225.67574</v>
      </c>
      <c r="V24" s="57" t="n">
        <f aca="false">'Gastos objeto'!V22*(1-Supuestos!$C$83)</f>
        <v>5723755225.67574</v>
      </c>
      <c r="W24" s="57" t="n">
        <f aca="false">'Gastos objeto'!W22*(1-Supuestos!$C$83)</f>
        <v>5723755225.67574</v>
      </c>
      <c r="X24" s="57" t="n">
        <f aca="false">'Gastos objeto'!X22*(1-Supuestos!$C$83)</f>
        <v>5723755225.67574</v>
      </c>
      <c r="Y24" s="57" t="n">
        <f aca="false">'Gastos objeto'!Y22*(1-Supuestos!$C$83)</f>
        <v>5723755225.67574</v>
      </c>
      <c r="Z24" s="57" t="n">
        <f aca="false">'Gastos objeto'!Z22*(1-Supuestos!$C$83)</f>
        <v>5437567464.39195</v>
      </c>
      <c r="AA24" s="57" t="n">
        <f aca="false">'Gastos objeto'!AA22*(1-Supuestos!$C$83)</f>
        <v>4579004180.54059</v>
      </c>
      <c r="AB24" s="57" t="n">
        <f aca="false">'Gastos objeto'!AB22*(1-Supuestos!$C$83)</f>
        <v>2861877612.83787</v>
      </c>
      <c r="AC24" s="57" t="n">
        <f aca="false">'Gastos objeto'!AC22*(1-Supuestos!$C$83)</f>
        <v>2003314328.98651</v>
      </c>
      <c r="AD24" s="57" t="n">
        <f aca="false">'Gastos objeto'!AD22*(1-Supuestos!$C$83)</f>
        <v>3434253135.40544</v>
      </c>
      <c r="AE24" s="57" t="n">
        <f aca="false">'Gastos objeto'!AE22*(1-Supuestos!$C$83)</f>
        <v>4865191941.82438</v>
      </c>
      <c r="AF24" s="57" t="n">
        <f aca="false">'Gastos objeto'!AF22*(1-Supuestos!$C$83)</f>
        <v>5437567464.39195</v>
      </c>
      <c r="AG24" s="57" t="n">
        <f aca="false">'Gastos objeto'!AG22*(1-Supuestos!$C$83)</f>
        <v>5723755225.67574</v>
      </c>
      <c r="AH24" s="57" t="n">
        <f aca="false">'Gastos objeto'!AH22*(1-Supuestos!$C$83)</f>
        <v>5723755225.67574</v>
      </c>
      <c r="AI24" s="57" t="n">
        <f aca="false">'Gastos objeto'!AI22*(1-Supuestos!$C$83)</f>
        <v>5723755225.67574</v>
      </c>
      <c r="AJ24" s="57" t="n">
        <f aca="false">'Gastos objeto'!AJ22*(1-Supuestos!$C$83)</f>
        <v>5723755225.67574</v>
      </c>
      <c r="AK24" s="57" t="n">
        <f aca="false">'Gastos objeto'!AK22*(1-Supuestos!$C$83)</f>
        <v>5723755225.67574</v>
      </c>
      <c r="AL24" s="57" t="n">
        <f aca="false">'Gastos objeto'!AL22*(1-Supuestos!$C$83)</f>
        <v>5437567464.39195</v>
      </c>
      <c r="AM24" s="57" t="n">
        <f aca="false">'Gastos objeto'!AM22*(1-Supuestos!$C$83)</f>
        <v>4579004180.54059</v>
      </c>
      <c r="AN24" s="57" t="n">
        <f aca="false">'Gastos objeto'!AN22*(1-Supuestos!$C$83)</f>
        <v>2861877612.83787</v>
      </c>
      <c r="AO24" s="57" t="n">
        <f aca="false">'Gastos objeto'!AO22*(1-Supuestos!$C$83)</f>
        <v>2003314328.98651</v>
      </c>
      <c r="AP24" s="57" t="n">
        <f aca="false">'Gastos objeto'!AP22*(1-Supuestos!$C$83)</f>
        <v>3434253135.40544</v>
      </c>
      <c r="AQ24" s="57" t="n">
        <f aca="false">'Gastos objeto'!AQ22*(1-Supuestos!$C$83)</f>
        <v>4865191941.82438</v>
      </c>
      <c r="AR24" s="57" t="n">
        <f aca="false">'Gastos objeto'!AR22*(1-Supuestos!$C$83)</f>
        <v>5437567464.39195</v>
      </c>
      <c r="AS24" s="57" t="n">
        <f aca="false">'Gastos objeto'!AS22*(1-Supuestos!$C$83)</f>
        <v>5723755225.67574</v>
      </c>
      <c r="AT24" s="57" t="n">
        <f aca="false">'Gastos objeto'!AT22*(1-Supuestos!$C$83)</f>
        <v>5723755225.67574</v>
      </c>
      <c r="AU24" s="57" t="n">
        <f aca="false">'Gastos objeto'!AU22*(1-Supuestos!$C$83)</f>
        <v>5723755225.67574</v>
      </c>
      <c r="AV24" s="57" t="n">
        <f aca="false">'Gastos objeto'!AV22*(1-Supuestos!$C$83)</f>
        <v>5723755225.67574</v>
      </c>
      <c r="AW24" s="57" t="n">
        <f aca="false">'Gastos objeto'!AW22*(1-Supuestos!$C$83)</f>
        <v>5723755225.67574</v>
      </c>
      <c r="AX24" s="57" t="n">
        <f aca="false">'Gastos objeto'!AX22*(1-Supuestos!$C$83)</f>
        <v>5437567464.39195</v>
      </c>
      <c r="AY24" s="57" t="n">
        <f aca="false">'Gastos objeto'!AY22*(1-Supuestos!$C$83)</f>
        <v>4579004180.54059</v>
      </c>
      <c r="AZ24" s="57" t="n">
        <f aca="false">'Gastos objeto'!AZ22*(1-Supuestos!$C$83)</f>
        <v>2861877612.83787</v>
      </c>
      <c r="BA24" s="57" t="n">
        <f aca="false">'Gastos objeto'!BA22*(1-Supuestos!$C$83)</f>
        <v>2003314328.98651</v>
      </c>
      <c r="BB24" s="57" t="n">
        <f aca="false">'Gastos objeto'!BB22*(1-Supuestos!$C$83)</f>
        <v>3434253135.40544</v>
      </c>
      <c r="BC24" s="57" t="n">
        <f aca="false">'Gastos objeto'!BC22*(1-Supuestos!$C$83)</f>
        <v>4865191941.82438</v>
      </c>
      <c r="BD24" s="57" t="n">
        <f aca="false">'Gastos objeto'!BD22*(1-Supuestos!$C$83)</f>
        <v>5437567464.39195</v>
      </c>
      <c r="BE24" s="57" t="n">
        <f aca="false">'Gastos objeto'!BE22*(1-Supuestos!$C$83)</f>
        <v>5723755225.67574</v>
      </c>
      <c r="BF24" s="57" t="n">
        <f aca="false">'Gastos objeto'!BF22*(1-Supuestos!$C$83)</f>
        <v>5723755225.67574</v>
      </c>
      <c r="BG24" s="57" t="n">
        <f aca="false">'Gastos objeto'!BG22*(1-Supuestos!$C$83)</f>
        <v>5723755225.67574</v>
      </c>
      <c r="BH24" s="57" t="n">
        <f aca="false">'Gastos objeto'!BH22*(1-Supuestos!$C$83)</f>
        <v>5723755225.67574</v>
      </c>
      <c r="BI24" s="57" t="n">
        <f aca="false">'Gastos objeto'!BI22*(1-Supuestos!$C$83)</f>
        <v>5723755225.67574</v>
      </c>
      <c r="BJ24" s="57" t="n">
        <f aca="false">'Gastos objeto'!BJ22*(1-Supuestos!$C$83)</f>
        <v>5437567464.39195</v>
      </c>
      <c r="BK24" s="57" t="n">
        <f aca="false">'Gastos objeto'!BK22*(1-Supuestos!$C$83)</f>
        <v>4579004180.54059</v>
      </c>
      <c r="BL24" s="57" t="n">
        <f aca="false">'Gastos objeto'!BL22*(1-Supuestos!$C$83)</f>
        <v>2861877612.83787</v>
      </c>
      <c r="BM24" s="57" t="n">
        <f aca="false">'Gastos objeto'!BM22*(1-Supuestos!$C$83)</f>
        <v>2003314328.98651</v>
      </c>
      <c r="BN24" s="57" t="n">
        <f aca="false">'Gastos objeto'!BN22*(1-Supuestos!$C$83)</f>
        <v>3434253135.40544</v>
      </c>
      <c r="BO24" s="57" t="n">
        <f aca="false">'Gastos objeto'!BO22*(1-Supuestos!$C$83)</f>
        <v>4865191941.82438</v>
      </c>
      <c r="BP24" s="57" t="n">
        <f aca="false">'Gastos objeto'!BP22*(1-Supuestos!$C$83)</f>
        <v>5437567464.39195</v>
      </c>
      <c r="BQ24" s="57" t="n">
        <f aca="false">'Gastos objeto'!BQ22*(1-Supuestos!$C$83)</f>
        <v>5723755225.67574</v>
      </c>
      <c r="BR24" s="57" t="n">
        <f aca="false">'Gastos objeto'!BR22*(1-Supuestos!$C$83)</f>
        <v>5723755225.67574</v>
      </c>
      <c r="BS24" s="57" t="n">
        <f aca="false">'Gastos objeto'!BS22*(1-Supuestos!$C$83)</f>
        <v>5723755225.67574</v>
      </c>
      <c r="BT24" s="57" t="n">
        <f aca="false">'Gastos objeto'!BT22*(1-Supuestos!$C$83)</f>
        <v>5723755225.67574</v>
      </c>
      <c r="BU24" s="57" t="n">
        <f aca="false">'Gastos objeto'!BU22*(1-Supuestos!$C$83)</f>
        <v>5723755225.67574</v>
      </c>
      <c r="BV24" s="57" t="n">
        <f aca="false">'Gastos objeto'!BV22*(1-Supuestos!$C$83)</f>
        <v>5437567464.39195</v>
      </c>
      <c r="BW24" s="57" t="n">
        <f aca="false">'Gastos objeto'!BW22*(1-Supuestos!$C$83)</f>
        <v>4579004180.54059</v>
      </c>
      <c r="BX24" s="57" t="n">
        <f aca="false">'Gastos objeto'!BX22*(1-Supuestos!$C$83)</f>
        <v>2861877612.83787</v>
      </c>
      <c r="BY24" s="57" t="n">
        <f aca="false">'Gastos objeto'!BY22*(1-Supuestos!$C$83)</f>
        <v>2003314328.98651</v>
      </c>
      <c r="BZ24" s="57" t="n">
        <f aca="false">'Gastos objeto'!BZ22*(1-Supuestos!$C$83)</f>
        <v>3434253135.40544</v>
      </c>
      <c r="CA24" s="57" t="n">
        <f aca="false">'Gastos objeto'!CA22*(1-Supuestos!$C$83)</f>
        <v>4865191941.82438</v>
      </c>
      <c r="CB24" s="57" t="n">
        <f aca="false">'Gastos objeto'!CB22*(1-Supuestos!$C$83)</f>
        <v>5437567464.39195</v>
      </c>
      <c r="CC24" s="57" t="n">
        <f aca="false">'Gastos objeto'!CC22*(1-Supuestos!$C$83)</f>
        <v>5723755225.67574</v>
      </c>
      <c r="CD24" s="57" t="n">
        <f aca="false">'Gastos objeto'!CD22*(1-Supuestos!$C$83)</f>
        <v>5723755225.67574</v>
      </c>
      <c r="CE24" s="57" t="n">
        <f aca="false">'Gastos objeto'!CE22*(1-Supuestos!$C$83)</f>
        <v>5723755225.67574</v>
      </c>
      <c r="CF24" s="57" t="n">
        <f aca="false">'Gastos objeto'!CF22*(1-Supuestos!$C$83)</f>
        <v>5723755225.67574</v>
      </c>
      <c r="CG24" s="57" t="n">
        <f aca="false">'Gastos objeto'!CG22*(1-Supuestos!$C$83)</f>
        <v>5723755225.67574</v>
      </c>
      <c r="CH24" s="57" t="n">
        <f aca="false">'Gastos objeto'!CH22*(1-Supuestos!$C$83)</f>
        <v>5437567464.39195</v>
      </c>
      <c r="CI24" s="57" t="n">
        <f aca="false">'Gastos objeto'!CI22*(1-Supuestos!$C$83)</f>
        <v>4579004180.54059</v>
      </c>
      <c r="CJ24" s="57" t="n">
        <f aca="false">'Gastos objeto'!CJ22*(1-Supuestos!$C$83)</f>
        <v>2861877612.83787</v>
      </c>
      <c r="CK24" s="57" t="n">
        <f aca="false">'Gastos objeto'!CK22*(1-Supuestos!$C$83)</f>
        <v>2003314328.98651</v>
      </c>
      <c r="CL24" s="57" t="n">
        <f aca="false">'Gastos objeto'!CL22*(1-Supuestos!$C$83)</f>
        <v>3434253135.40544</v>
      </c>
      <c r="CM24" s="57" t="n">
        <f aca="false">'Gastos objeto'!CM22*(1-Supuestos!$C$83)</f>
        <v>4865191941.82438</v>
      </c>
      <c r="CN24" s="57" t="n">
        <f aca="false">'Gastos objeto'!CN22*(1-Supuestos!$C$83)</f>
        <v>5437567464.39195</v>
      </c>
      <c r="CO24" s="57" t="n">
        <f aca="false">'Gastos objeto'!CO22*(1-Supuestos!$C$83)</f>
        <v>5723755225.67574</v>
      </c>
      <c r="CP24" s="57" t="n">
        <f aca="false">'Gastos objeto'!CP22*(1-Supuestos!$C$83)</f>
        <v>5723755225.67574</v>
      </c>
      <c r="CQ24" s="57" t="n">
        <f aca="false">'Gastos objeto'!CQ22*(1-Supuestos!$C$83)</f>
        <v>5723755225.67574</v>
      </c>
      <c r="CR24" s="57" t="n">
        <f aca="false">'Gastos objeto'!CR22*(1-Supuestos!$C$83)</f>
        <v>5723755225.67574</v>
      </c>
      <c r="CS24" s="57" t="n">
        <f aca="false">'Gastos objeto'!CS22*(1-Supuestos!$C$83)</f>
        <v>5723755225.67574</v>
      </c>
      <c r="CT24" s="57" t="n">
        <f aca="false">'Gastos objeto'!CT22*(1-Supuestos!$C$83)</f>
        <v>5437567464.39195</v>
      </c>
    </row>
    <row r="25" customFormat="false" ht="15" hidden="false" customHeight="true" outlineLevel="0" collapsed="false">
      <c r="B25" s="19" t="s">
        <v>603</v>
      </c>
      <c r="C25" s="66" t="n">
        <f aca="false">Deuda!C26</f>
        <v>154782891.222222</v>
      </c>
      <c r="D25" s="66" t="n">
        <f aca="false">Deuda!D26</f>
        <v>154782891.222222</v>
      </c>
      <c r="E25" s="66" t="n">
        <f aca="false">Deuda!E26</f>
        <v>154782891.222222</v>
      </c>
      <c r="F25" s="66" t="n">
        <f aca="false">Deuda!F26</f>
        <v>154782891.222222</v>
      </c>
      <c r="G25" s="66" t="n">
        <f aca="false">Deuda!G26</f>
        <v>154782891.222222</v>
      </c>
      <c r="H25" s="66" t="n">
        <f aca="false">Deuda!H26</f>
        <v>154782891.222222</v>
      </c>
      <c r="I25" s="66" t="n">
        <f aca="false">Deuda!I26</f>
        <v>154782891.222222</v>
      </c>
      <c r="J25" s="66" t="n">
        <f aca="false">Deuda!J26</f>
        <v>154782891.222222</v>
      </c>
      <c r="K25" s="66" t="n">
        <f aca="false">Deuda!K26</f>
        <v>154782891.222222</v>
      </c>
      <c r="L25" s="66" t="n">
        <f aca="false">Deuda!L26</f>
        <v>154782891.222222</v>
      </c>
      <c r="M25" s="66" t="n">
        <f aca="false">Deuda!M26</f>
        <v>154782891.222222</v>
      </c>
      <c r="N25" s="66" t="n">
        <f aca="false">Deuda!N26</f>
        <v>154782891.222222</v>
      </c>
      <c r="O25" s="66" t="n">
        <f aca="false">Deuda!O26</f>
        <v>154782891.222222</v>
      </c>
      <c r="P25" s="66" t="n">
        <f aca="false">Deuda!P26</f>
        <v>154782891.222222</v>
      </c>
      <c r="Q25" s="66" t="n">
        <f aca="false">Deuda!Q26</f>
        <v>154782891.222222</v>
      </c>
      <c r="R25" s="66" t="n">
        <f aca="false">Deuda!R26</f>
        <v>154782891.222222</v>
      </c>
      <c r="S25" s="66" t="n">
        <f aca="false">Deuda!S26</f>
        <v>154782891.222222</v>
      </c>
      <c r="T25" s="66" t="n">
        <f aca="false">Deuda!T26</f>
        <v>154782891.222222</v>
      </c>
      <c r="U25" s="66" t="n">
        <f aca="false">Deuda!U26</f>
        <v>154782891.222222</v>
      </c>
      <c r="V25" s="66" t="n">
        <f aca="false">Deuda!V26</f>
        <v>154782891.222222</v>
      </c>
      <c r="W25" s="66" t="n">
        <f aca="false">Deuda!W26</f>
        <v>154782891.222222</v>
      </c>
      <c r="X25" s="66" t="n">
        <f aca="false">Deuda!X26</f>
        <v>154782891.222222</v>
      </c>
      <c r="Y25" s="66" t="n">
        <f aca="false">Deuda!Y26</f>
        <v>154782891.222222</v>
      </c>
      <c r="Z25" s="66" t="n">
        <f aca="false">Deuda!Z26</f>
        <v>154782891.22222</v>
      </c>
      <c r="AA25" s="66" t="n">
        <f aca="false">Deuda!AA26</f>
        <v>0</v>
      </c>
      <c r="AB25" s="66" t="n">
        <f aca="false">Deuda!AB26</f>
        <v>0</v>
      </c>
      <c r="AC25" s="66" t="n">
        <f aca="false">Deuda!AC26</f>
        <v>0</v>
      </c>
      <c r="AD25" s="66" t="n">
        <f aca="false">Deuda!AD26</f>
        <v>0</v>
      </c>
      <c r="AE25" s="66" t="n">
        <f aca="false">Deuda!AE26</f>
        <v>0</v>
      </c>
      <c r="AF25" s="66" t="n">
        <f aca="false">Deuda!AF26</f>
        <v>0</v>
      </c>
      <c r="AG25" s="66" t="n">
        <f aca="false">Deuda!AG26</f>
        <v>0</v>
      </c>
      <c r="AH25" s="66" t="n">
        <f aca="false">Deuda!AH26</f>
        <v>0</v>
      </c>
      <c r="AI25" s="66" t="n">
        <f aca="false">Deuda!AI26</f>
        <v>0</v>
      </c>
      <c r="AJ25" s="66" t="n">
        <f aca="false">Deuda!AJ26</f>
        <v>0</v>
      </c>
      <c r="AK25" s="66" t="n">
        <f aca="false">Deuda!AK26</f>
        <v>0</v>
      </c>
      <c r="AL25" s="66" t="n">
        <f aca="false">Deuda!AL26</f>
        <v>0</v>
      </c>
      <c r="AM25" s="66" t="n">
        <f aca="false">Deuda!AM26</f>
        <v>0</v>
      </c>
      <c r="AN25" s="66" t="n">
        <f aca="false">Deuda!AN26</f>
        <v>0</v>
      </c>
      <c r="AO25" s="66" t="n">
        <f aca="false">Deuda!AO26</f>
        <v>0</v>
      </c>
      <c r="AP25" s="66" t="n">
        <f aca="false">Deuda!AP26</f>
        <v>0</v>
      </c>
      <c r="AQ25" s="66" t="n">
        <f aca="false">Deuda!AQ26</f>
        <v>0</v>
      </c>
      <c r="AR25" s="66" t="n">
        <f aca="false">Deuda!AR26</f>
        <v>0</v>
      </c>
      <c r="AS25" s="66" t="n">
        <f aca="false">Deuda!AS26</f>
        <v>0</v>
      </c>
      <c r="AT25" s="66" t="n">
        <f aca="false">Deuda!AT26</f>
        <v>0</v>
      </c>
      <c r="AU25" s="66" t="n">
        <f aca="false">Deuda!AU26</f>
        <v>0</v>
      </c>
      <c r="AV25" s="66" t="n">
        <f aca="false">Deuda!AV26</f>
        <v>0</v>
      </c>
      <c r="AW25" s="66" t="n">
        <f aca="false">Deuda!AW26</f>
        <v>0</v>
      </c>
      <c r="AX25" s="66" t="n">
        <f aca="false">Deuda!AX26</f>
        <v>0</v>
      </c>
      <c r="AY25" s="66" t="n">
        <f aca="false">Deuda!AY26</f>
        <v>0</v>
      </c>
      <c r="AZ25" s="66" t="n">
        <f aca="false">Deuda!AZ26</f>
        <v>0</v>
      </c>
      <c r="BA25" s="66" t="n">
        <f aca="false">Deuda!BA26</f>
        <v>0</v>
      </c>
      <c r="BB25" s="66" t="n">
        <f aca="false">Deuda!BB26</f>
        <v>0</v>
      </c>
      <c r="BC25" s="66" t="n">
        <f aca="false">Deuda!BC26</f>
        <v>0</v>
      </c>
      <c r="BD25" s="66" t="n">
        <f aca="false">Deuda!BD26</f>
        <v>0</v>
      </c>
      <c r="BE25" s="66" t="n">
        <f aca="false">Deuda!BE26</f>
        <v>0</v>
      </c>
      <c r="BF25" s="66" t="n">
        <f aca="false">Deuda!BF26</f>
        <v>0</v>
      </c>
      <c r="BG25" s="66" t="n">
        <f aca="false">Deuda!BG26</f>
        <v>0</v>
      </c>
      <c r="BH25" s="66" t="n">
        <f aca="false">Deuda!BH26</f>
        <v>0</v>
      </c>
      <c r="BI25" s="66" t="n">
        <f aca="false">Deuda!BI26</f>
        <v>0</v>
      </c>
      <c r="BJ25" s="66" t="n">
        <f aca="false">Deuda!BJ26</f>
        <v>0</v>
      </c>
      <c r="BK25" s="66" t="n">
        <f aca="false">Deuda!BK26</f>
        <v>0</v>
      </c>
      <c r="BL25" s="66" t="n">
        <f aca="false">Deuda!BL26</f>
        <v>0</v>
      </c>
      <c r="BM25" s="66" t="n">
        <f aca="false">Deuda!BM26</f>
        <v>0</v>
      </c>
      <c r="BN25" s="66" t="n">
        <f aca="false">Deuda!BN26</f>
        <v>0</v>
      </c>
      <c r="BO25" s="66" t="n">
        <f aca="false">Deuda!BO26</f>
        <v>0</v>
      </c>
      <c r="BP25" s="66" t="n">
        <f aca="false">Deuda!BP26</f>
        <v>0</v>
      </c>
      <c r="BQ25" s="66" t="n">
        <f aca="false">Deuda!BQ26</f>
        <v>0</v>
      </c>
      <c r="BR25" s="66" t="n">
        <f aca="false">Deuda!BR26</f>
        <v>0</v>
      </c>
      <c r="BS25" s="66" t="n">
        <f aca="false">Deuda!BS26</f>
        <v>0</v>
      </c>
      <c r="BT25" s="66" t="n">
        <f aca="false">Deuda!BT26</f>
        <v>0</v>
      </c>
      <c r="BU25" s="66" t="n">
        <f aca="false">Deuda!BU26</f>
        <v>0</v>
      </c>
      <c r="BV25" s="66" t="n">
        <f aca="false">Deuda!BV26</f>
        <v>0</v>
      </c>
      <c r="BW25" s="66" t="n">
        <f aca="false">Deuda!BW26</f>
        <v>0</v>
      </c>
      <c r="BX25" s="66" t="n">
        <f aca="false">Deuda!BX26</f>
        <v>0</v>
      </c>
      <c r="BY25" s="66" t="n">
        <f aca="false">Deuda!BY26</f>
        <v>0</v>
      </c>
      <c r="BZ25" s="66" t="n">
        <f aca="false">Deuda!BZ26</f>
        <v>0</v>
      </c>
      <c r="CA25" s="66" t="n">
        <f aca="false">Deuda!CA26</f>
        <v>0</v>
      </c>
      <c r="CB25" s="66" t="n">
        <f aca="false">Deuda!CB26</f>
        <v>0</v>
      </c>
      <c r="CC25" s="66" t="n">
        <f aca="false">Deuda!CC26</f>
        <v>0</v>
      </c>
      <c r="CD25" s="66" t="n">
        <f aca="false">Deuda!CD26</f>
        <v>0</v>
      </c>
      <c r="CE25" s="66" t="n">
        <f aca="false">Deuda!CE26</f>
        <v>0</v>
      </c>
      <c r="CF25" s="66" t="n">
        <f aca="false">Deuda!CF26</f>
        <v>0</v>
      </c>
      <c r="CG25" s="66" t="n">
        <f aca="false">Deuda!CG26</f>
        <v>0</v>
      </c>
      <c r="CH25" s="66" t="n">
        <f aca="false">Deuda!CH26</f>
        <v>0</v>
      </c>
      <c r="CI25" s="66" t="n">
        <f aca="false">Deuda!CI26</f>
        <v>0</v>
      </c>
      <c r="CJ25" s="66" t="n">
        <f aca="false">Deuda!CJ26</f>
        <v>0</v>
      </c>
      <c r="CK25" s="66" t="n">
        <f aca="false">Deuda!CK26</f>
        <v>0</v>
      </c>
      <c r="CL25" s="66" t="n">
        <f aca="false">Deuda!CL26</f>
        <v>0</v>
      </c>
      <c r="CM25" s="66" t="n">
        <f aca="false">Deuda!CM26</f>
        <v>0</v>
      </c>
      <c r="CN25" s="66" t="n">
        <f aca="false">Deuda!CN26</f>
        <v>0</v>
      </c>
      <c r="CO25" s="66" t="n">
        <f aca="false">Deuda!CO26</f>
        <v>0</v>
      </c>
      <c r="CP25" s="66" t="n">
        <f aca="false">Deuda!CP26</f>
        <v>0</v>
      </c>
      <c r="CQ25" s="66" t="n">
        <f aca="false">Deuda!CQ26</f>
        <v>0</v>
      </c>
      <c r="CR25" s="66" t="n">
        <f aca="false">Deuda!CR26</f>
        <v>0</v>
      </c>
      <c r="CS25" s="66" t="n">
        <f aca="false">Deuda!CS26</f>
        <v>0</v>
      </c>
      <c r="CT25" s="66" t="n">
        <f aca="false">Deuda!CT26</f>
        <v>0</v>
      </c>
    </row>
    <row r="26" customFormat="false" ht="15" hidden="false" customHeight="true" outlineLevel="0" collapsed="false">
      <c r="B26" s="19" t="s">
        <v>604</v>
      </c>
      <c r="C26" s="57" t="n">
        <f aca="false">Deuda!C29</f>
        <v>0</v>
      </c>
      <c r="D26" s="57" t="n">
        <f aca="false">Deuda!D29</f>
        <v>3750000000</v>
      </c>
      <c r="E26" s="57" t="n">
        <f aca="false">Deuda!E29</f>
        <v>0</v>
      </c>
      <c r="F26" s="57" t="n">
        <f aca="false">Deuda!F29</f>
        <v>0</v>
      </c>
      <c r="G26" s="57" t="n">
        <f aca="false">Deuda!G29</f>
        <v>3750000000</v>
      </c>
      <c r="H26" s="57" t="n">
        <f aca="false">Deuda!H29</f>
        <v>0</v>
      </c>
      <c r="I26" s="57" t="n">
        <f aca="false">Deuda!I29</f>
        <v>0</v>
      </c>
      <c r="J26" s="57" t="n">
        <f aca="false">Deuda!J29</f>
        <v>3750000000</v>
      </c>
      <c r="K26" s="57" t="n">
        <f aca="false">Deuda!K29</f>
        <v>0</v>
      </c>
      <c r="L26" s="57" t="n">
        <f aca="false">Deuda!L29</f>
        <v>0</v>
      </c>
      <c r="M26" s="57" t="n">
        <f aca="false">Deuda!M29</f>
        <v>3750000000</v>
      </c>
      <c r="N26" s="57" t="n">
        <f aca="false">Deuda!N29</f>
        <v>0</v>
      </c>
      <c r="O26" s="57" t="n">
        <f aca="false">Deuda!O29</f>
        <v>0</v>
      </c>
      <c r="P26" s="57" t="n">
        <f aca="false">Deuda!P29</f>
        <v>3750000000</v>
      </c>
      <c r="Q26" s="57" t="n">
        <f aca="false">Deuda!Q29</f>
        <v>0</v>
      </c>
      <c r="R26" s="57" t="n">
        <f aca="false">Deuda!R29</f>
        <v>0</v>
      </c>
      <c r="S26" s="57" t="n">
        <f aca="false">Deuda!S29</f>
        <v>3750000000</v>
      </c>
      <c r="T26" s="57" t="n">
        <f aca="false">Deuda!T29</f>
        <v>0</v>
      </c>
      <c r="U26" s="57" t="n">
        <f aca="false">Deuda!U29</f>
        <v>0</v>
      </c>
      <c r="V26" s="57" t="n">
        <f aca="false">Deuda!V29</f>
        <v>3750000000</v>
      </c>
      <c r="W26" s="57" t="n">
        <f aca="false">Deuda!W29</f>
        <v>0</v>
      </c>
      <c r="X26" s="57" t="n">
        <f aca="false">Deuda!X29</f>
        <v>0</v>
      </c>
      <c r="Y26" s="57" t="n">
        <f aca="false">Deuda!Y29</f>
        <v>0</v>
      </c>
      <c r="Z26" s="57" t="n">
        <f aca="false">Deuda!Z29</f>
        <v>0</v>
      </c>
      <c r="AA26" s="57" t="n">
        <f aca="false">Deuda!AA29</f>
        <v>0</v>
      </c>
      <c r="AB26" s="57" t="n">
        <f aca="false">Deuda!AB29</f>
        <v>0</v>
      </c>
      <c r="AC26" s="57" t="n">
        <f aca="false">Deuda!AC29</f>
        <v>0</v>
      </c>
      <c r="AD26" s="57" t="n">
        <f aca="false">Deuda!AD29</f>
        <v>0</v>
      </c>
      <c r="AE26" s="57" t="n">
        <f aca="false">Deuda!AE29</f>
        <v>0</v>
      </c>
      <c r="AF26" s="57" t="n">
        <f aca="false">Deuda!AF29</f>
        <v>0</v>
      </c>
      <c r="AG26" s="57" t="n">
        <f aca="false">Deuda!AG29</f>
        <v>0</v>
      </c>
      <c r="AH26" s="57" t="n">
        <f aca="false">Deuda!AH29</f>
        <v>0</v>
      </c>
      <c r="AI26" s="57" t="n">
        <f aca="false">Deuda!AI29</f>
        <v>0</v>
      </c>
      <c r="AJ26" s="57" t="n">
        <f aca="false">Deuda!AJ29</f>
        <v>0</v>
      </c>
      <c r="AK26" s="57" t="n">
        <f aca="false">Deuda!AK29</f>
        <v>0</v>
      </c>
      <c r="AL26" s="57" t="n">
        <f aca="false">Deuda!AL29</f>
        <v>0</v>
      </c>
      <c r="AM26" s="57" t="n">
        <f aca="false">Deuda!AM29</f>
        <v>0</v>
      </c>
      <c r="AN26" s="57" t="n">
        <f aca="false">Deuda!AN29</f>
        <v>0</v>
      </c>
      <c r="AO26" s="57" t="n">
        <f aca="false">Deuda!AO29</f>
        <v>0</v>
      </c>
      <c r="AP26" s="57" t="n">
        <f aca="false">Deuda!AP29</f>
        <v>0</v>
      </c>
      <c r="AQ26" s="57" t="n">
        <f aca="false">Deuda!AQ29</f>
        <v>0</v>
      </c>
      <c r="AR26" s="57" t="n">
        <f aca="false">Deuda!AR29</f>
        <v>0</v>
      </c>
      <c r="AS26" s="57" t="n">
        <f aca="false">Deuda!AS29</f>
        <v>0</v>
      </c>
      <c r="AT26" s="57" t="n">
        <f aca="false">Deuda!AT29</f>
        <v>0</v>
      </c>
      <c r="AU26" s="57" t="n">
        <f aca="false">Deuda!AU29</f>
        <v>0</v>
      </c>
      <c r="AV26" s="57" t="n">
        <f aca="false">Deuda!AV29</f>
        <v>0</v>
      </c>
      <c r="AW26" s="57" t="n">
        <f aca="false">Deuda!AW29</f>
        <v>0</v>
      </c>
      <c r="AX26" s="57" t="n">
        <f aca="false">Deuda!AX29</f>
        <v>0</v>
      </c>
      <c r="AY26" s="57" t="n">
        <f aca="false">Deuda!AY29</f>
        <v>0</v>
      </c>
      <c r="AZ26" s="57" t="n">
        <f aca="false">Deuda!AZ29</f>
        <v>0</v>
      </c>
      <c r="BA26" s="57" t="n">
        <f aca="false">Deuda!BA29</f>
        <v>0</v>
      </c>
      <c r="BB26" s="57" t="n">
        <f aca="false">Deuda!BB29</f>
        <v>0</v>
      </c>
      <c r="BC26" s="57" t="n">
        <f aca="false">Deuda!BC29</f>
        <v>0</v>
      </c>
      <c r="BD26" s="57" t="n">
        <f aca="false">Deuda!BD29</f>
        <v>0</v>
      </c>
      <c r="BE26" s="57" t="n">
        <f aca="false">Deuda!BE29</f>
        <v>0</v>
      </c>
      <c r="BF26" s="57" t="n">
        <f aca="false">Deuda!BF29</f>
        <v>0</v>
      </c>
      <c r="BG26" s="57" t="n">
        <f aca="false">Deuda!BG29</f>
        <v>0</v>
      </c>
      <c r="BH26" s="57" t="n">
        <f aca="false">Deuda!BH29</f>
        <v>0</v>
      </c>
      <c r="BI26" s="57" t="n">
        <f aca="false">Deuda!BI29</f>
        <v>0</v>
      </c>
      <c r="BJ26" s="57" t="n">
        <f aca="false">Deuda!BJ29</f>
        <v>0</v>
      </c>
      <c r="BK26" s="57" t="n">
        <f aca="false">Deuda!BK29</f>
        <v>0</v>
      </c>
      <c r="BL26" s="57" t="n">
        <f aca="false">Deuda!BL29</f>
        <v>0</v>
      </c>
      <c r="BM26" s="57" t="n">
        <f aca="false">Deuda!BM29</f>
        <v>0</v>
      </c>
      <c r="BN26" s="57" t="n">
        <f aca="false">Deuda!BN29</f>
        <v>0</v>
      </c>
      <c r="BO26" s="57" t="n">
        <f aca="false">Deuda!BO29</f>
        <v>0</v>
      </c>
      <c r="BP26" s="57" t="n">
        <f aca="false">Deuda!BP29</f>
        <v>0</v>
      </c>
      <c r="BQ26" s="57" t="n">
        <f aca="false">Deuda!BQ29</f>
        <v>0</v>
      </c>
      <c r="BR26" s="57" t="n">
        <f aca="false">Deuda!BR29</f>
        <v>0</v>
      </c>
      <c r="BS26" s="57" t="n">
        <f aca="false">Deuda!BS29</f>
        <v>0</v>
      </c>
      <c r="BT26" s="57" t="n">
        <f aca="false">Deuda!BT29</f>
        <v>0</v>
      </c>
      <c r="BU26" s="57" t="n">
        <f aca="false">Deuda!BU29</f>
        <v>0</v>
      </c>
      <c r="BV26" s="57" t="n">
        <f aca="false">Deuda!BV29</f>
        <v>0</v>
      </c>
      <c r="BW26" s="57" t="n">
        <f aca="false">Deuda!BW29</f>
        <v>0</v>
      </c>
      <c r="BX26" s="57" t="n">
        <f aca="false">Deuda!BX29</f>
        <v>0</v>
      </c>
      <c r="BY26" s="57" t="n">
        <f aca="false">Deuda!BY29</f>
        <v>0</v>
      </c>
      <c r="BZ26" s="57" t="n">
        <f aca="false">Deuda!BZ29</f>
        <v>0</v>
      </c>
      <c r="CA26" s="57" t="n">
        <f aca="false">Deuda!CA29</f>
        <v>0</v>
      </c>
      <c r="CB26" s="57" t="n">
        <f aca="false">Deuda!CB29</f>
        <v>0</v>
      </c>
      <c r="CC26" s="57" t="n">
        <f aca="false">Deuda!CC29</f>
        <v>0</v>
      </c>
      <c r="CD26" s="57" t="n">
        <f aca="false">Deuda!CD29</f>
        <v>0</v>
      </c>
      <c r="CE26" s="57" t="n">
        <f aca="false">Deuda!CE29</f>
        <v>0</v>
      </c>
      <c r="CF26" s="57" t="n">
        <f aca="false">Deuda!CF29</f>
        <v>0</v>
      </c>
      <c r="CG26" s="57" t="n">
        <f aca="false">Deuda!CG29</f>
        <v>0</v>
      </c>
      <c r="CH26" s="57" t="n">
        <f aca="false">Deuda!CH29</f>
        <v>0</v>
      </c>
      <c r="CI26" s="57" t="n">
        <f aca="false">Deuda!CI29</f>
        <v>0</v>
      </c>
      <c r="CJ26" s="57" t="n">
        <f aca="false">Deuda!CJ29</f>
        <v>0</v>
      </c>
      <c r="CK26" s="57" t="n">
        <f aca="false">Deuda!CK29</f>
        <v>0</v>
      </c>
      <c r="CL26" s="57" t="n">
        <f aca="false">Deuda!CL29</f>
        <v>0</v>
      </c>
      <c r="CM26" s="57" t="n">
        <f aca="false">Deuda!CM29</f>
        <v>0</v>
      </c>
      <c r="CN26" s="57" t="n">
        <f aca="false">Deuda!CN29</f>
        <v>0</v>
      </c>
      <c r="CO26" s="57" t="n">
        <f aca="false">Deuda!CO29</f>
        <v>0</v>
      </c>
      <c r="CP26" s="57" t="n">
        <f aca="false">Deuda!CP29</f>
        <v>0</v>
      </c>
      <c r="CQ26" s="57" t="n">
        <f aca="false">Deuda!CQ29</f>
        <v>0</v>
      </c>
      <c r="CR26" s="57" t="n">
        <f aca="false">Deuda!CR29</f>
        <v>0</v>
      </c>
      <c r="CS26" s="57" t="n">
        <f aca="false">Deuda!CS29</f>
        <v>0</v>
      </c>
      <c r="CT26" s="57" t="n">
        <f aca="false">Deuda!CT29</f>
        <v>0</v>
      </c>
    </row>
    <row r="27" customFormat="false" ht="15" hidden="false" customHeight="true" outlineLevel="0" collapsed="false">
      <c r="B27" s="46" t="s">
        <v>605</v>
      </c>
      <c r="C27" s="58" t="n">
        <f aca="false">SUM(C22:C26)</f>
        <v>19252503283.0755</v>
      </c>
      <c r="D27" s="58" t="n">
        <f aca="false">SUM(D22:D26)</f>
        <v>23852086061.6249</v>
      </c>
      <c r="E27" s="58" t="n">
        <f aca="false">SUM(E22:E26)</f>
        <v>19815898300.3411</v>
      </c>
      <c r="F27" s="58" t="n">
        <f aca="false">SUM(F22:F26)</f>
        <v>21630667986.3716</v>
      </c>
      <c r="G27" s="58" t="n">
        <f aca="false">SUM(G22:G26)</f>
        <v>26811606792.7905</v>
      </c>
      <c r="H27" s="58" t="n">
        <f aca="false">SUM(H22:H26)</f>
        <v>26895829926.086</v>
      </c>
      <c r="I27" s="58" t="n">
        <f aca="false">SUM(I22:I26)</f>
        <v>23920170076.6419</v>
      </c>
      <c r="J27" s="58" t="n">
        <f aca="false">SUM(J22:J26)</f>
        <v>27670170076.6419</v>
      </c>
      <c r="K27" s="58" t="n">
        <f aca="false">SUM(K22:K26)</f>
        <v>23920170076.6419</v>
      </c>
      <c r="L27" s="58" t="n">
        <f aca="false">SUM(L22:L26)</f>
        <v>23920170076.6419</v>
      </c>
      <c r="M27" s="58" t="n">
        <f aca="false">SUM(M22:M26)</f>
        <v>27712815984.7299</v>
      </c>
      <c r="N27" s="58" t="n">
        <f aca="false">SUM(N22:N26)</f>
        <v>26938475834.1739</v>
      </c>
      <c r="O27" s="58" t="n">
        <f aca="false">SUM(O22:O26)</f>
        <v>22199672712.0893</v>
      </c>
      <c r="P27" s="58" t="n">
        <f aca="false">SUM(P22:P26)</f>
        <v>24306163249.0377</v>
      </c>
      <c r="Q27" s="58" t="n">
        <f aca="false">SUM(Q22:Q26)</f>
        <v>19974807221.1681</v>
      </c>
      <c r="R27" s="58" t="n">
        <f aca="false">SUM(R22:R26)</f>
        <v>21789576907.1986</v>
      </c>
      <c r="S27" s="58" t="n">
        <f aca="false">SUM(S22:S26)</f>
        <v>26970515713.6176</v>
      </c>
      <c r="T27" s="58" t="n">
        <f aca="false">SUM(T22:T26)</f>
        <v>27054738846.913</v>
      </c>
      <c r="U27" s="58" t="n">
        <f aca="false">SUM(U22:U26)</f>
        <v>24079078997.4689</v>
      </c>
      <c r="V27" s="58" t="n">
        <f aca="false">SUM(V22:V26)</f>
        <v>27829078997.4689</v>
      </c>
      <c r="W27" s="58" t="n">
        <f aca="false">SUM(W22:W26)</f>
        <v>24079078997.4689</v>
      </c>
      <c r="X27" s="58" t="n">
        <f aca="false">SUM(X22:X26)</f>
        <v>24079078997.4689</v>
      </c>
      <c r="Y27" s="58" t="n">
        <f aca="false">SUM(Y22:Y26)</f>
        <v>24121724905.5569</v>
      </c>
      <c r="Z27" s="58" t="n">
        <f aca="false">SUM(Z22:Z26)</f>
        <v>27097384755.001</v>
      </c>
      <c r="AA27" s="58" t="n">
        <f aca="false">SUM(AA22:AA26)</f>
        <v>22203798741.6942</v>
      </c>
      <c r="AB27" s="58" t="n">
        <f aca="false">SUM(AB22:AB26)</f>
        <v>20546636863.3881</v>
      </c>
      <c r="AC27" s="58" t="n">
        <f aca="false">SUM(AC22:AC26)</f>
        <v>19965280835.5186</v>
      </c>
      <c r="AD27" s="58" t="n">
        <f aca="false">SUM(AD22:AD26)</f>
        <v>21780050521.5491</v>
      </c>
      <c r="AE27" s="58" t="n">
        <f aca="false">SUM(AE22:AE26)</f>
        <v>23210989327.968</v>
      </c>
      <c r="AF27" s="58" t="n">
        <f aca="false">SUM(AF22:AF26)</f>
        <v>27045212461.2634</v>
      </c>
      <c r="AG27" s="58" t="n">
        <f aca="false">SUM(AG22:AG26)</f>
        <v>24069552611.8194</v>
      </c>
      <c r="AH27" s="58" t="n">
        <f aca="false">SUM(AH22:AH26)</f>
        <v>24069552611.8194</v>
      </c>
      <c r="AI27" s="58" t="n">
        <f aca="false">SUM(AI22:AI26)</f>
        <v>24069552611.8194</v>
      </c>
      <c r="AJ27" s="58" t="n">
        <f aca="false">SUM(AJ22:AJ26)</f>
        <v>24069552611.8194</v>
      </c>
      <c r="AK27" s="58" t="n">
        <f aca="false">SUM(AK22:AK26)</f>
        <v>24112198519.9074</v>
      </c>
      <c r="AL27" s="58" t="n">
        <f aca="false">SUM(AL22:AL26)</f>
        <v>27087858369.3514</v>
      </c>
      <c r="AM27" s="58" t="n">
        <f aca="false">SUM(AM22:AM26)</f>
        <v>22349055247.2668</v>
      </c>
      <c r="AN27" s="58" t="n">
        <f aca="false">SUM(AN22:AN26)</f>
        <v>20592018475.5405</v>
      </c>
      <c r="AO27" s="58" t="n">
        <f aca="false">SUM(AO22:AO26)</f>
        <v>20010662447.6709</v>
      </c>
      <c r="AP27" s="58" t="n">
        <f aca="false">SUM(AP22:AP26)</f>
        <v>21825432133.7015</v>
      </c>
      <c r="AQ27" s="58" t="n">
        <f aca="false">SUM(AQ22:AQ26)</f>
        <v>23256370940.1204</v>
      </c>
      <c r="AR27" s="58" t="n">
        <f aca="false">SUM(AR22:AR26)</f>
        <v>27090594073.4158</v>
      </c>
      <c r="AS27" s="58" t="n">
        <f aca="false">SUM(AS22:AS26)</f>
        <v>24114934223.9718</v>
      </c>
      <c r="AT27" s="58" t="n">
        <f aca="false">SUM(AT22:AT26)</f>
        <v>24114934223.9718</v>
      </c>
      <c r="AU27" s="58" t="n">
        <f aca="false">SUM(AU22:AU26)</f>
        <v>24114934223.9718</v>
      </c>
      <c r="AV27" s="58" t="n">
        <f aca="false">SUM(AV22:AV26)</f>
        <v>24114934223.9718</v>
      </c>
      <c r="AW27" s="58" t="n">
        <f aca="false">SUM(AW22:AW26)</f>
        <v>24157580132.0597</v>
      </c>
      <c r="AX27" s="58" t="n">
        <f aca="false">SUM(AX22:AX26)</f>
        <v>27133239981.5038</v>
      </c>
      <c r="AY27" s="58" t="n">
        <f aca="false">SUM(AY22:AY26)</f>
        <v>22394436859.4192</v>
      </c>
      <c r="AZ27" s="58" t="n">
        <f aca="false">SUM(AZ22:AZ26)</f>
        <v>20592018475.5405</v>
      </c>
      <c r="BA27" s="58" t="n">
        <f aca="false">SUM(BA22:BA26)</f>
        <v>20010662447.6709</v>
      </c>
      <c r="BB27" s="58" t="n">
        <f aca="false">SUM(BB22:BB26)</f>
        <v>21825432133.7015</v>
      </c>
      <c r="BC27" s="58" t="n">
        <f aca="false">SUM(BC22:BC26)</f>
        <v>23256370940.1204</v>
      </c>
      <c r="BD27" s="58" t="n">
        <f aca="false">SUM(BD22:BD26)</f>
        <v>27090594073.4158</v>
      </c>
      <c r="BE27" s="58" t="n">
        <f aca="false">SUM(BE22:BE26)</f>
        <v>24114934223.9718</v>
      </c>
      <c r="BF27" s="58" t="n">
        <f aca="false">SUM(BF22:BF26)</f>
        <v>24114934223.9718</v>
      </c>
      <c r="BG27" s="58" t="n">
        <f aca="false">SUM(BG22:BG26)</f>
        <v>24114934223.9718</v>
      </c>
      <c r="BH27" s="58" t="n">
        <f aca="false">SUM(BH22:BH26)</f>
        <v>24114934223.9718</v>
      </c>
      <c r="BI27" s="58" t="n">
        <f aca="false">SUM(BI22:BI26)</f>
        <v>24157580132.0597</v>
      </c>
      <c r="BJ27" s="58" t="n">
        <f aca="false">SUM(BJ22:BJ26)</f>
        <v>27133239981.5038</v>
      </c>
      <c r="BK27" s="58" t="n">
        <f aca="false">SUM(BK22:BK26)</f>
        <v>22394436859.4192</v>
      </c>
      <c r="BL27" s="58" t="n">
        <f aca="false">SUM(BL22:BL26)</f>
        <v>20592018475.5405</v>
      </c>
      <c r="BM27" s="58" t="n">
        <f aca="false">SUM(BM22:BM26)</f>
        <v>20010662447.6709</v>
      </c>
      <c r="BN27" s="58" t="n">
        <f aca="false">SUM(BN22:BN26)</f>
        <v>21825432133.7015</v>
      </c>
      <c r="BO27" s="58" t="n">
        <f aca="false">SUM(BO22:BO26)</f>
        <v>23256370940.1204</v>
      </c>
      <c r="BP27" s="58" t="n">
        <f aca="false">SUM(BP22:BP26)</f>
        <v>27090594073.4158</v>
      </c>
      <c r="BQ27" s="58" t="n">
        <f aca="false">SUM(BQ22:BQ26)</f>
        <v>24114934223.9718</v>
      </c>
      <c r="BR27" s="58" t="n">
        <f aca="false">SUM(BR22:BR26)</f>
        <v>24114934223.9718</v>
      </c>
      <c r="BS27" s="58" t="n">
        <f aca="false">SUM(BS22:BS26)</f>
        <v>24114934223.9718</v>
      </c>
      <c r="BT27" s="58" t="n">
        <f aca="false">SUM(BT22:BT26)</f>
        <v>24114934223.9718</v>
      </c>
      <c r="BU27" s="58" t="n">
        <f aca="false">SUM(BU22:BU26)</f>
        <v>24157580132.0597</v>
      </c>
      <c r="BV27" s="58" t="n">
        <f aca="false">SUM(BV22:BV26)</f>
        <v>27133239981.5038</v>
      </c>
      <c r="BW27" s="58" t="n">
        <f aca="false">SUM(BW22:BW26)</f>
        <v>22394436859.4192</v>
      </c>
      <c r="BX27" s="58" t="n">
        <f aca="false">SUM(BX22:BX26)</f>
        <v>20592018475.5405</v>
      </c>
      <c r="BY27" s="58" t="n">
        <f aca="false">SUM(BY22:BY26)</f>
        <v>20010662447.6709</v>
      </c>
      <c r="BZ27" s="58" t="n">
        <f aca="false">SUM(BZ22:BZ26)</f>
        <v>21825432133.7015</v>
      </c>
      <c r="CA27" s="58" t="n">
        <f aca="false">SUM(CA22:CA26)</f>
        <v>23256370940.1204</v>
      </c>
      <c r="CB27" s="58" t="n">
        <f aca="false">SUM(CB22:CB26)</f>
        <v>27090594073.4158</v>
      </c>
      <c r="CC27" s="58" t="n">
        <f aca="false">SUM(CC22:CC26)</f>
        <v>24114934223.9718</v>
      </c>
      <c r="CD27" s="58" t="n">
        <f aca="false">SUM(CD22:CD26)</f>
        <v>24114934223.9718</v>
      </c>
      <c r="CE27" s="58" t="n">
        <f aca="false">SUM(CE22:CE26)</f>
        <v>24114934223.9718</v>
      </c>
      <c r="CF27" s="58" t="n">
        <f aca="false">SUM(CF22:CF26)</f>
        <v>24114934223.9718</v>
      </c>
      <c r="CG27" s="58" t="n">
        <f aca="false">SUM(CG22:CG26)</f>
        <v>24157580132.0597</v>
      </c>
      <c r="CH27" s="58" t="n">
        <f aca="false">SUM(CH22:CH26)</f>
        <v>27133239981.5038</v>
      </c>
      <c r="CI27" s="58" t="n">
        <f aca="false">SUM(CI22:CI26)</f>
        <v>22394436859.4192</v>
      </c>
      <c r="CJ27" s="58" t="n">
        <f aca="false">SUM(CJ22:CJ26)</f>
        <v>20592018475.5405</v>
      </c>
      <c r="CK27" s="58" t="n">
        <f aca="false">SUM(CK22:CK26)</f>
        <v>20010662447.6709</v>
      </c>
      <c r="CL27" s="58" t="n">
        <f aca="false">SUM(CL22:CL26)</f>
        <v>21825432133.7015</v>
      </c>
      <c r="CM27" s="58" t="n">
        <f aca="false">SUM(CM22:CM26)</f>
        <v>23256370940.1204</v>
      </c>
      <c r="CN27" s="58" t="n">
        <f aca="false">SUM(CN22:CN26)</f>
        <v>27090594073.4158</v>
      </c>
      <c r="CO27" s="58" t="n">
        <f aca="false">SUM(CO22:CO26)</f>
        <v>24114934223.9718</v>
      </c>
      <c r="CP27" s="58" t="n">
        <f aca="false">SUM(CP22:CP26)</f>
        <v>24114934223.9718</v>
      </c>
      <c r="CQ27" s="58" t="n">
        <f aca="false">SUM(CQ22:CQ26)</f>
        <v>24114934223.9718</v>
      </c>
      <c r="CR27" s="58" t="n">
        <f aca="false">SUM(CR22:CR26)</f>
        <v>24114934223.9718</v>
      </c>
      <c r="CS27" s="58" t="n">
        <f aca="false">SUM(CS22:CS26)</f>
        <v>24157580132.0597</v>
      </c>
      <c r="CT27" s="58" t="n">
        <f aca="false">SUM(CT22:CT26)</f>
        <v>27133239981.5038</v>
      </c>
    </row>
    <row r="29" customFormat="false" ht="15" hidden="false" customHeight="true" outlineLevel="0" collapsed="false">
      <c r="B29" s="56" t="s">
        <v>606</v>
      </c>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row>
    <row r="30" customFormat="false" ht="15" hidden="false" customHeight="true" outlineLevel="0" collapsed="false">
      <c r="B30" s="19" t="s">
        <v>607</v>
      </c>
      <c r="C30" s="57" t="n">
        <f aca="false">('Gastos objeto'!C8+'Gastos objeto'!C9)*Supuestos!$C$81</f>
        <v>2060114280.45969</v>
      </c>
      <c r="D30" s="57" t="n">
        <f aca="false">('Gastos objeto'!D8+'Gastos objeto'!D9)*Supuestos!$C$81</f>
        <v>2060114280.45969</v>
      </c>
      <c r="E30" s="57" t="n">
        <f aca="false">('Gastos objeto'!E8+'Gastos objeto'!E9)*Supuestos!$C$81</f>
        <v>2060114280.45969</v>
      </c>
      <c r="F30" s="57" t="n">
        <f aca="false">('Gastos objeto'!F8+'Gastos objeto'!F9)*Supuestos!$C$81</f>
        <v>2060114280.45969</v>
      </c>
      <c r="G30" s="57" t="n">
        <f aca="false">('Gastos objeto'!G8+'Gastos objeto'!G9)*Supuestos!$C$81</f>
        <v>2060114280.45969</v>
      </c>
      <c r="H30" s="57" t="n">
        <f aca="false">('Gastos objeto'!H8+'Gastos objeto'!H9)*Supuestos!$C$81</f>
        <v>3090171420.68954</v>
      </c>
      <c r="I30" s="57" t="n">
        <f aca="false">('Gastos objeto'!I8+'Gastos objeto'!I9)*Supuestos!$C$81</f>
        <v>2060114280.45969</v>
      </c>
      <c r="J30" s="57" t="n">
        <f aca="false">('Gastos objeto'!J8+'Gastos objeto'!J9)*Supuestos!$C$81</f>
        <v>2060114280.45969</v>
      </c>
      <c r="K30" s="57" t="n">
        <f aca="false">('Gastos objeto'!K8+'Gastos objeto'!K9)*Supuestos!$C$81</f>
        <v>2060114280.45969</v>
      </c>
      <c r="L30" s="57" t="n">
        <f aca="false">('Gastos objeto'!L8+'Gastos objeto'!L9)*Supuestos!$C$81</f>
        <v>2060114280.45969</v>
      </c>
      <c r="M30" s="57" t="n">
        <f aca="false">('Gastos objeto'!M8+'Gastos objeto'!M9)*Supuestos!$C$81</f>
        <v>2060114280.45969</v>
      </c>
      <c r="N30" s="57" t="n">
        <f aca="false">('Gastos objeto'!N8+'Gastos objeto'!N9)*Supuestos!$C$81</f>
        <v>3090171420.68954</v>
      </c>
      <c r="O30" s="57" t="n">
        <f aca="false">('Gastos objeto'!O8+'Gastos objeto'!O9)*Supuestos!$C$81</f>
        <v>2060114280.45969</v>
      </c>
      <c r="P30" s="57" t="n">
        <f aca="false">('Gastos objeto'!P8+'Gastos objeto'!P9)*Supuestos!$C$81</f>
        <v>2060114280.45969</v>
      </c>
      <c r="Q30" s="57" t="n">
        <f aca="false">('Gastos objeto'!Q8+'Gastos objeto'!Q9)*Supuestos!$C$81</f>
        <v>2060114280.45969</v>
      </c>
      <c r="R30" s="57" t="n">
        <f aca="false">('Gastos objeto'!R8+'Gastos objeto'!R9)*Supuestos!$C$81</f>
        <v>2060114280.45969</v>
      </c>
      <c r="S30" s="57" t="n">
        <f aca="false">('Gastos objeto'!S8+'Gastos objeto'!S9)*Supuestos!$C$81</f>
        <v>2060114280.45969</v>
      </c>
      <c r="T30" s="57" t="n">
        <f aca="false">('Gastos objeto'!T8+'Gastos objeto'!T9)*Supuestos!$C$81</f>
        <v>3090171420.68954</v>
      </c>
      <c r="U30" s="57" t="n">
        <f aca="false">('Gastos objeto'!U8+'Gastos objeto'!U9)*Supuestos!$C$81</f>
        <v>2060114280.45969</v>
      </c>
      <c r="V30" s="57" t="n">
        <f aca="false">('Gastos objeto'!V8+'Gastos objeto'!V9)*Supuestos!$C$81</f>
        <v>2060114280.45969</v>
      </c>
      <c r="W30" s="57" t="n">
        <f aca="false">('Gastos objeto'!W8+'Gastos objeto'!W9)*Supuestos!$C$81</f>
        <v>2060114280.45969</v>
      </c>
      <c r="X30" s="57" t="n">
        <f aca="false">('Gastos objeto'!X8+'Gastos objeto'!X9)*Supuestos!$C$81</f>
        <v>2060114280.45969</v>
      </c>
      <c r="Y30" s="57" t="n">
        <f aca="false">('Gastos objeto'!Y8+'Gastos objeto'!Y9)*Supuestos!$C$81</f>
        <v>2060114280.45969</v>
      </c>
      <c r="Z30" s="57" t="n">
        <f aca="false">('Gastos objeto'!Z8+'Gastos objeto'!Z9)*Supuestos!$C$81</f>
        <v>3090171420.68954</v>
      </c>
      <c r="AA30" s="57" t="n">
        <f aca="false">('Gastos objeto'!AA8+'Gastos objeto'!AA9)*Supuestos!$C$81</f>
        <v>2060114280.45969</v>
      </c>
      <c r="AB30" s="57" t="n">
        <f aca="false">('Gastos objeto'!AB8+'Gastos objeto'!AB9)*Supuestos!$C$81</f>
        <v>2060114280.45969</v>
      </c>
      <c r="AC30" s="57" t="n">
        <f aca="false">('Gastos objeto'!AC8+'Gastos objeto'!AC9)*Supuestos!$C$81</f>
        <v>2060114280.45969</v>
      </c>
      <c r="AD30" s="57" t="n">
        <f aca="false">('Gastos objeto'!AD8+'Gastos objeto'!AD9)*Supuestos!$C$81</f>
        <v>2060114280.45969</v>
      </c>
      <c r="AE30" s="57" t="n">
        <f aca="false">('Gastos objeto'!AE8+'Gastos objeto'!AE9)*Supuestos!$C$81</f>
        <v>2060114280.45969</v>
      </c>
      <c r="AF30" s="57" t="n">
        <f aca="false">('Gastos objeto'!AF8+'Gastos objeto'!AF9)*Supuestos!$C$81</f>
        <v>3090171420.68954</v>
      </c>
      <c r="AG30" s="57" t="n">
        <f aca="false">('Gastos objeto'!AG8+'Gastos objeto'!AG9)*Supuestos!$C$81</f>
        <v>2060114280.45969</v>
      </c>
      <c r="AH30" s="57" t="n">
        <f aca="false">('Gastos objeto'!AH8+'Gastos objeto'!AH9)*Supuestos!$C$81</f>
        <v>2060114280.45969</v>
      </c>
      <c r="AI30" s="57" t="n">
        <f aca="false">('Gastos objeto'!AI8+'Gastos objeto'!AI9)*Supuestos!$C$81</f>
        <v>2060114280.45969</v>
      </c>
      <c r="AJ30" s="57" t="n">
        <f aca="false">('Gastos objeto'!AJ8+'Gastos objeto'!AJ9)*Supuestos!$C$81</f>
        <v>2060114280.45969</v>
      </c>
      <c r="AK30" s="57" t="n">
        <f aca="false">('Gastos objeto'!AK8+'Gastos objeto'!AK9)*Supuestos!$C$81</f>
        <v>2060114280.45969</v>
      </c>
      <c r="AL30" s="57" t="n">
        <f aca="false">('Gastos objeto'!AL8+'Gastos objeto'!AL9)*Supuestos!$C$81</f>
        <v>3090171420.68954</v>
      </c>
      <c r="AM30" s="57" t="n">
        <f aca="false">('Gastos objeto'!AM8+'Gastos objeto'!AM9)*Supuestos!$C$81</f>
        <v>2060114280.45969</v>
      </c>
      <c r="AN30" s="57" t="n">
        <f aca="false">('Gastos objeto'!AN8+'Gastos objeto'!AN9)*Supuestos!$C$81</f>
        <v>2060114280.45969</v>
      </c>
      <c r="AO30" s="57" t="n">
        <f aca="false">('Gastos objeto'!AO8+'Gastos objeto'!AO9)*Supuestos!$C$81</f>
        <v>2060114280.45969</v>
      </c>
      <c r="AP30" s="57" t="n">
        <f aca="false">('Gastos objeto'!AP8+'Gastos objeto'!AP9)*Supuestos!$C$81</f>
        <v>2060114280.45969</v>
      </c>
      <c r="AQ30" s="57" t="n">
        <f aca="false">('Gastos objeto'!AQ8+'Gastos objeto'!AQ9)*Supuestos!$C$81</f>
        <v>2060114280.45969</v>
      </c>
      <c r="AR30" s="57" t="n">
        <f aca="false">('Gastos objeto'!AR8+'Gastos objeto'!AR9)*Supuestos!$C$81</f>
        <v>3090171420.68954</v>
      </c>
      <c r="AS30" s="57" t="n">
        <f aca="false">('Gastos objeto'!AS8+'Gastos objeto'!AS9)*Supuestos!$C$81</f>
        <v>2060114280.45969</v>
      </c>
      <c r="AT30" s="57" t="n">
        <f aca="false">('Gastos objeto'!AT8+'Gastos objeto'!AT9)*Supuestos!$C$81</f>
        <v>2060114280.45969</v>
      </c>
      <c r="AU30" s="57" t="n">
        <f aca="false">('Gastos objeto'!AU8+'Gastos objeto'!AU9)*Supuestos!$C$81</f>
        <v>2060114280.45969</v>
      </c>
      <c r="AV30" s="57" t="n">
        <f aca="false">('Gastos objeto'!AV8+'Gastos objeto'!AV9)*Supuestos!$C$81</f>
        <v>2060114280.45969</v>
      </c>
      <c r="AW30" s="57" t="n">
        <f aca="false">('Gastos objeto'!AW8+'Gastos objeto'!AW9)*Supuestos!$C$81</f>
        <v>2060114280.45969</v>
      </c>
      <c r="AX30" s="57" t="n">
        <f aca="false">('Gastos objeto'!AX8+'Gastos objeto'!AX9)*Supuestos!$C$81</f>
        <v>3090171420.68954</v>
      </c>
      <c r="AY30" s="57" t="n">
        <f aca="false">('Gastos objeto'!AY8+'Gastos objeto'!AY9)*Supuestos!$C$81</f>
        <v>2060114280.45969</v>
      </c>
      <c r="AZ30" s="57" t="n">
        <f aca="false">('Gastos objeto'!AZ8+'Gastos objeto'!AZ9)*Supuestos!$C$81</f>
        <v>2060114280.45969</v>
      </c>
      <c r="BA30" s="57" t="n">
        <f aca="false">('Gastos objeto'!BA8+'Gastos objeto'!BA9)*Supuestos!$C$81</f>
        <v>2060114280.45969</v>
      </c>
      <c r="BB30" s="57" t="n">
        <f aca="false">('Gastos objeto'!BB8+'Gastos objeto'!BB9)*Supuestos!$C$81</f>
        <v>2060114280.45969</v>
      </c>
      <c r="BC30" s="57" t="n">
        <f aca="false">('Gastos objeto'!BC8+'Gastos objeto'!BC9)*Supuestos!$C$81</f>
        <v>2060114280.45969</v>
      </c>
      <c r="BD30" s="57" t="n">
        <f aca="false">('Gastos objeto'!BD8+'Gastos objeto'!BD9)*Supuestos!$C$81</f>
        <v>3090171420.68954</v>
      </c>
      <c r="BE30" s="57" t="n">
        <f aca="false">('Gastos objeto'!BE8+'Gastos objeto'!BE9)*Supuestos!$C$81</f>
        <v>2060114280.45969</v>
      </c>
      <c r="BF30" s="57" t="n">
        <f aca="false">('Gastos objeto'!BF8+'Gastos objeto'!BF9)*Supuestos!$C$81</f>
        <v>2060114280.45969</v>
      </c>
      <c r="BG30" s="57" t="n">
        <f aca="false">('Gastos objeto'!BG8+'Gastos objeto'!BG9)*Supuestos!$C$81</f>
        <v>2060114280.45969</v>
      </c>
      <c r="BH30" s="57" t="n">
        <f aca="false">('Gastos objeto'!BH8+'Gastos objeto'!BH9)*Supuestos!$C$81</f>
        <v>2060114280.45969</v>
      </c>
      <c r="BI30" s="57" t="n">
        <f aca="false">('Gastos objeto'!BI8+'Gastos objeto'!BI9)*Supuestos!$C$81</f>
        <v>2060114280.45969</v>
      </c>
      <c r="BJ30" s="57" t="n">
        <f aca="false">('Gastos objeto'!BJ8+'Gastos objeto'!BJ9)*Supuestos!$C$81</f>
        <v>3090171420.68954</v>
      </c>
      <c r="BK30" s="57" t="n">
        <f aca="false">('Gastos objeto'!BK8+'Gastos objeto'!BK9)*Supuestos!$C$81</f>
        <v>2060114280.45969</v>
      </c>
      <c r="BL30" s="57" t="n">
        <f aca="false">('Gastos objeto'!BL8+'Gastos objeto'!BL9)*Supuestos!$C$81</f>
        <v>2060114280.45969</v>
      </c>
      <c r="BM30" s="57" t="n">
        <f aca="false">('Gastos objeto'!BM8+'Gastos objeto'!BM9)*Supuestos!$C$81</f>
        <v>2060114280.45969</v>
      </c>
      <c r="BN30" s="57" t="n">
        <f aca="false">('Gastos objeto'!BN8+'Gastos objeto'!BN9)*Supuestos!$C$81</f>
        <v>2060114280.45969</v>
      </c>
      <c r="BO30" s="57" t="n">
        <f aca="false">('Gastos objeto'!BO8+'Gastos objeto'!BO9)*Supuestos!$C$81</f>
        <v>2060114280.45969</v>
      </c>
      <c r="BP30" s="57" t="n">
        <f aca="false">('Gastos objeto'!BP8+'Gastos objeto'!BP9)*Supuestos!$C$81</f>
        <v>3090171420.68954</v>
      </c>
      <c r="BQ30" s="57" t="n">
        <f aca="false">('Gastos objeto'!BQ8+'Gastos objeto'!BQ9)*Supuestos!$C$81</f>
        <v>2060114280.45969</v>
      </c>
      <c r="BR30" s="57" t="n">
        <f aca="false">('Gastos objeto'!BR8+'Gastos objeto'!BR9)*Supuestos!$C$81</f>
        <v>2060114280.45969</v>
      </c>
      <c r="BS30" s="57" t="n">
        <f aca="false">('Gastos objeto'!BS8+'Gastos objeto'!BS9)*Supuestos!$C$81</f>
        <v>2060114280.45969</v>
      </c>
      <c r="BT30" s="57" t="n">
        <f aca="false">('Gastos objeto'!BT8+'Gastos objeto'!BT9)*Supuestos!$C$81</f>
        <v>2060114280.45969</v>
      </c>
      <c r="BU30" s="57" t="n">
        <f aca="false">('Gastos objeto'!BU8+'Gastos objeto'!BU9)*Supuestos!$C$81</f>
        <v>2060114280.45969</v>
      </c>
      <c r="BV30" s="57" t="n">
        <f aca="false">('Gastos objeto'!BV8+'Gastos objeto'!BV9)*Supuestos!$C$81</f>
        <v>3090171420.68954</v>
      </c>
      <c r="BW30" s="57" t="n">
        <f aca="false">('Gastos objeto'!BW8+'Gastos objeto'!BW9)*Supuestos!$C$81</f>
        <v>2060114280.45969</v>
      </c>
      <c r="BX30" s="57" t="n">
        <f aca="false">('Gastos objeto'!BX8+'Gastos objeto'!BX9)*Supuestos!$C$81</f>
        <v>2060114280.45969</v>
      </c>
      <c r="BY30" s="57" t="n">
        <f aca="false">('Gastos objeto'!BY8+'Gastos objeto'!BY9)*Supuestos!$C$81</f>
        <v>2060114280.45969</v>
      </c>
      <c r="BZ30" s="57" t="n">
        <f aca="false">('Gastos objeto'!BZ8+'Gastos objeto'!BZ9)*Supuestos!$C$81</f>
        <v>2060114280.45969</v>
      </c>
      <c r="CA30" s="57" t="n">
        <f aca="false">('Gastos objeto'!CA8+'Gastos objeto'!CA9)*Supuestos!$C$81</f>
        <v>2060114280.45969</v>
      </c>
      <c r="CB30" s="57" t="n">
        <f aca="false">('Gastos objeto'!CB8+'Gastos objeto'!CB9)*Supuestos!$C$81</f>
        <v>3090171420.68954</v>
      </c>
      <c r="CC30" s="57" t="n">
        <f aca="false">('Gastos objeto'!CC8+'Gastos objeto'!CC9)*Supuestos!$C$81</f>
        <v>2060114280.45969</v>
      </c>
      <c r="CD30" s="57" t="n">
        <f aca="false">('Gastos objeto'!CD8+'Gastos objeto'!CD9)*Supuestos!$C$81</f>
        <v>2060114280.45969</v>
      </c>
      <c r="CE30" s="57" t="n">
        <f aca="false">('Gastos objeto'!CE8+'Gastos objeto'!CE9)*Supuestos!$C$81</f>
        <v>2060114280.45969</v>
      </c>
      <c r="CF30" s="57" t="n">
        <f aca="false">('Gastos objeto'!CF8+'Gastos objeto'!CF9)*Supuestos!$C$81</f>
        <v>2060114280.45969</v>
      </c>
      <c r="CG30" s="57" t="n">
        <f aca="false">('Gastos objeto'!CG8+'Gastos objeto'!CG9)*Supuestos!$C$81</f>
        <v>2060114280.45969</v>
      </c>
      <c r="CH30" s="57" t="n">
        <f aca="false">('Gastos objeto'!CH8+'Gastos objeto'!CH9)*Supuestos!$C$81</f>
        <v>3090171420.68954</v>
      </c>
      <c r="CI30" s="57" t="n">
        <f aca="false">('Gastos objeto'!CI8+'Gastos objeto'!CI9)*Supuestos!$C$81</f>
        <v>2060114280.45969</v>
      </c>
      <c r="CJ30" s="57" t="n">
        <f aca="false">('Gastos objeto'!CJ8+'Gastos objeto'!CJ9)*Supuestos!$C$81</f>
        <v>2060114280.45969</v>
      </c>
      <c r="CK30" s="57" t="n">
        <f aca="false">('Gastos objeto'!CK8+'Gastos objeto'!CK9)*Supuestos!$C$81</f>
        <v>2060114280.45969</v>
      </c>
      <c r="CL30" s="57" t="n">
        <f aca="false">('Gastos objeto'!CL8+'Gastos objeto'!CL9)*Supuestos!$C$81</f>
        <v>2060114280.45969</v>
      </c>
      <c r="CM30" s="57" t="n">
        <f aca="false">('Gastos objeto'!CM8+'Gastos objeto'!CM9)*Supuestos!$C$81</f>
        <v>2060114280.45969</v>
      </c>
      <c r="CN30" s="57" t="n">
        <f aca="false">('Gastos objeto'!CN8+'Gastos objeto'!CN9)*Supuestos!$C$81</f>
        <v>3090171420.68954</v>
      </c>
      <c r="CO30" s="57" t="n">
        <f aca="false">('Gastos objeto'!CO8+'Gastos objeto'!CO9)*Supuestos!$C$81</f>
        <v>2060114280.45969</v>
      </c>
      <c r="CP30" s="57" t="n">
        <f aca="false">('Gastos objeto'!CP8+'Gastos objeto'!CP9)*Supuestos!$C$81</f>
        <v>2060114280.45969</v>
      </c>
      <c r="CQ30" s="57" t="n">
        <f aca="false">('Gastos objeto'!CQ8+'Gastos objeto'!CQ9)*Supuestos!$C$81</f>
        <v>2060114280.45969</v>
      </c>
      <c r="CR30" s="57" t="n">
        <f aca="false">('Gastos objeto'!CR8+'Gastos objeto'!CR9)*Supuestos!$C$81</f>
        <v>2060114280.45969</v>
      </c>
      <c r="CS30" s="57" t="n">
        <f aca="false">('Gastos objeto'!CS8+'Gastos objeto'!CS9)*Supuestos!$C$81</f>
        <v>2060114280.45969</v>
      </c>
      <c r="CT30" s="57" t="n">
        <f aca="false">('Gastos objeto'!CT8+'Gastos objeto'!CT9)*Supuestos!$C$81</f>
        <v>3090171420.68954</v>
      </c>
    </row>
    <row r="31" customFormat="false" ht="15" hidden="false" customHeight="true" outlineLevel="0" collapsed="false">
      <c r="B31" s="19" t="s">
        <v>608</v>
      </c>
      <c r="C31" s="57" t="n">
        <f aca="false">'Gastos objeto'!C21*Supuestos!$C$82</f>
        <v>393773524.450073</v>
      </c>
      <c r="D31" s="57" t="n">
        <f aca="false">'Gastos objeto'!D21*Supuestos!$C$82</f>
        <v>403827673.630759</v>
      </c>
      <c r="E31" s="57" t="n">
        <f aca="false">'Gastos objeto'!E21*Supuestos!$C$82</f>
        <v>403827673.630759</v>
      </c>
      <c r="F31" s="57" t="n">
        <f aca="false">'Gastos objeto'!F21*Supuestos!$C$82</f>
        <v>417749000.870558</v>
      </c>
      <c r="G31" s="57" t="n">
        <f aca="false">'Gastos objeto'!G21*Supuestos!$C$82</f>
        <v>417749000.870558</v>
      </c>
      <c r="H31" s="57" t="n">
        <f aca="false">'Gastos objeto'!H21*Supuestos!$C$82</f>
        <v>417749000.870558</v>
      </c>
      <c r="I31" s="57" t="n">
        <f aca="false">'Gastos objeto'!I21*Supuestos!$C$82</f>
        <v>417749000.870558</v>
      </c>
      <c r="J31" s="57" t="n">
        <f aca="false">'Gastos objeto'!J21*Supuestos!$C$82</f>
        <v>417749000.870558</v>
      </c>
      <c r="K31" s="57" t="n">
        <f aca="false">'Gastos objeto'!K21*Supuestos!$C$82</f>
        <v>417749000.870558</v>
      </c>
      <c r="L31" s="57" t="n">
        <f aca="false">'Gastos objeto'!L21*Supuestos!$C$82</f>
        <v>417749000.870558</v>
      </c>
      <c r="M31" s="57" t="n">
        <f aca="false">'Gastos objeto'!M21*Supuestos!$C$82</f>
        <v>419295743.650951</v>
      </c>
      <c r="N31" s="57" t="n">
        <f aca="false">'Gastos objeto'!N21*Supuestos!$C$82</f>
        <v>419295743.650951</v>
      </c>
      <c r="O31" s="57" t="n">
        <f aca="false">'Gastos objeto'!O21*Supuestos!$C$82</f>
        <v>396867010.01086</v>
      </c>
      <c r="P31" s="57" t="n">
        <f aca="false">'Gastos objeto'!P21*Supuestos!$C$82</f>
        <v>399537060.438618</v>
      </c>
      <c r="Q31" s="57" t="n">
        <f aca="false">'Gastos objeto'!Q21*Supuestos!$C$82</f>
        <v>409591209.619304</v>
      </c>
      <c r="R31" s="57" t="n">
        <f aca="false">'Gastos objeto'!R21*Supuestos!$C$82</f>
        <v>423512536.859103</v>
      </c>
      <c r="S31" s="57" t="n">
        <f aca="false">'Gastos objeto'!S21*Supuestos!$C$82</f>
        <v>423512536.859103</v>
      </c>
      <c r="T31" s="57" t="n">
        <f aca="false">'Gastos objeto'!T21*Supuestos!$C$82</f>
        <v>423512536.859103</v>
      </c>
      <c r="U31" s="57" t="n">
        <f aca="false">'Gastos objeto'!U21*Supuestos!$C$82</f>
        <v>423512536.859103</v>
      </c>
      <c r="V31" s="57" t="n">
        <f aca="false">'Gastos objeto'!V21*Supuestos!$C$82</f>
        <v>423512536.859103</v>
      </c>
      <c r="W31" s="57" t="n">
        <f aca="false">'Gastos objeto'!W21*Supuestos!$C$82</f>
        <v>423512536.859103</v>
      </c>
      <c r="X31" s="57" t="n">
        <f aca="false">'Gastos objeto'!X21*Supuestos!$C$82</f>
        <v>423512536.859103</v>
      </c>
      <c r="Y31" s="57" t="n">
        <f aca="false">'Gastos objeto'!Y21*Supuestos!$C$82</f>
        <v>425059279.639496</v>
      </c>
      <c r="Z31" s="57" t="n">
        <f aca="false">'Gastos objeto'!Z21*Supuestos!$C$82</f>
        <v>425059279.639496</v>
      </c>
      <c r="AA31" s="57" t="n">
        <f aca="false">'Gastos objeto'!AA21*Supuestos!$C$82</f>
        <v>402630545.999405</v>
      </c>
      <c r="AB31" s="57" t="n">
        <f aca="false">'Gastos objeto'!AB21*Supuestos!$C$82</f>
        <v>404805431.107057</v>
      </c>
      <c r="AC31" s="57" t="n">
        <f aca="false">'Gastos objeto'!AC21*Supuestos!$C$82</f>
        <v>414859580.287743</v>
      </c>
      <c r="AD31" s="57" t="n">
        <f aca="false">'Gastos objeto'!AD21*Supuestos!$C$82</f>
        <v>428780907.527542</v>
      </c>
      <c r="AE31" s="57" t="n">
        <f aca="false">'Gastos objeto'!AE21*Supuestos!$C$82</f>
        <v>428780907.527542</v>
      </c>
      <c r="AF31" s="57" t="n">
        <f aca="false">'Gastos objeto'!AF21*Supuestos!$C$82</f>
        <v>428780907.527542</v>
      </c>
      <c r="AG31" s="57" t="n">
        <f aca="false">'Gastos objeto'!AG21*Supuestos!$C$82</f>
        <v>428780907.527542</v>
      </c>
      <c r="AH31" s="57" t="n">
        <f aca="false">'Gastos objeto'!AH21*Supuestos!$C$82</f>
        <v>428780907.527542</v>
      </c>
      <c r="AI31" s="57" t="n">
        <f aca="false">'Gastos objeto'!AI21*Supuestos!$C$82</f>
        <v>428780907.527542</v>
      </c>
      <c r="AJ31" s="57" t="n">
        <f aca="false">'Gastos objeto'!AJ21*Supuestos!$C$82</f>
        <v>428780907.527542</v>
      </c>
      <c r="AK31" s="57" t="n">
        <f aca="false">'Gastos objeto'!AK21*Supuestos!$C$82</f>
        <v>430327650.307936</v>
      </c>
      <c r="AL31" s="57" t="n">
        <f aca="false">'Gastos objeto'!AL21*Supuestos!$C$82</f>
        <v>430327650.307936</v>
      </c>
      <c r="AM31" s="57" t="n">
        <f aca="false">'Gastos objeto'!AM21*Supuestos!$C$82</f>
        <v>407898916.667844</v>
      </c>
      <c r="AN31" s="57" t="n">
        <f aca="false">'Gastos objeto'!AN21*Supuestos!$C$82</f>
        <v>406451396.314656</v>
      </c>
      <c r="AO31" s="57" t="n">
        <f aca="false">'Gastos objeto'!AO21*Supuestos!$C$82</f>
        <v>416505545.495342</v>
      </c>
      <c r="AP31" s="57" t="n">
        <f aca="false">'Gastos objeto'!AP21*Supuestos!$C$82</f>
        <v>430426872.735141</v>
      </c>
      <c r="AQ31" s="57" t="n">
        <f aca="false">'Gastos objeto'!AQ21*Supuestos!$C$82</f>
        <v>430426872.735141</v>
      </c>
      <c r="AR31" s="57" t="n">
        <f aca="false">'Gastos objeto'!AR21*Supuestos!$C$82</f>
        <v>430426872.735141</v>
      </c>
      <c r="AS31" s="57" t="n">
        <f aca="false">'Gastos objeto'!AS21*Supuestos!$C$82</f>
        <v>430426872.735141</v>
      </c>
      <c r="AT31" s="57" t="n">
        <f aca="false">'Gastos objeto'!AT21*Supuestos!$C$82</f>
        <v>430426872.735141</v>
      </c>
      <c r="AU31" s="57" t="n">
        <f aca="false">'Gastos objeto'!AU21*Supuestos!$C$82</f>
        <v>430426872.735141</v>
      </c>
      <c r="AV31" s="57" t="n">
        <f aca="false">'Gastos objeto'!AV21*Supuestos!$C$82</f>
        <v>430426872.735141</v>
      </c>
      <c r="AW31" s="57" t="n">
        <f aca="false">'Gastos objeto'!AW21*Supuestos!$C$82</f>
        <v>431973615.515535</v>
      </c>
      <c r="AX31" s="57" t="n">
        <f aca="false">'Gastos objeto'!AX21*Supuestos!$C$82</f>
        <v>431973615.515535</v>
      </c>
      <c r="AY31" s="57" t="n">
        <f aca="false">'Gastos objeto'!AY21*Supuestos!$C$82</f>
        <v>409544881.875443</v>
      </c>
      <c r="AZ31" s="57" t="n">
        <f aca="false">'Gastos objeto'!AZ21*Supuestos!$C$82</f>
        <v>406451396.314656</v>
      </c>
      <c r="BA31" s="57" t="n">
        <f aca="false">'Gastos objeto'!BA21*Supuestos!$C$82</f>
        <v>416505545.495342</v>
      </c>
      <c r="BB31" s="57" t="n">
        <f aca="false">'Gastos objeto'!BB21*Supuestos!$C$82</f>
        <v>430426872.735141</v>
      </c>
      <c r="BC31" s="57" t="n">
        <f aca="false">'Gastos objeto'!BC21*Supuestos!$C$82</f>
        <v>430426872.735141</v>
      </c>
      <c r="BD31" s="57" t="n">
        <f aca="false">'Gastos objeto'!BD21*Supuestos!$C$82</f>
        <v>430426872.735141</v>
      </c>
      <c r="BE31" s="57" t="n">
        <f aca="false">'Gastos objeto'!BE21*Supuestos!$C$82</f>
        <v>430426872.735141</v>
      </c>
      <c r="BF31" s="57" t="n">
        <f aca="false">'Gastos objeto'!BF21*Supuestos!$C$82</f>
        <v>430426872.735141</v>
      </c>
      <c r="BG31" s="57" t="n">
        <f aca="false">'Gastos objeto'!BG21*Supuestos!$C$82</f>
        <v>430426872.735141</v>
      </c>
      <c r="BH31" s="57" t="n">
        <f aca="false">'Gastos objeto'!BH21*Supuestos!$C$82</f>
        <v>430426872.735141</v>
      </c>
      <c r="BI31" s="57" t="n">
        <f aca="false">'Gastos objeto'!BI21*Supuestos!$C$82</f>
        <v>431973615.515535</v>
      </c>
      <c r="BJ31" s="57" t="n">
        <f aca="false">'Gastos objeto'!BJ21*Supuestos!$C$82</f>
        <v>431973615.515535</v>
      </c>
      <c r="BK31" s="57" t="n">
        <f aca="false">'Gastos objeto'!BK21*Supuestos!$C$82</f>
        <v>409544881.875443</v>
      </c>
      <c r="BL31" s="57" t="n">
        <f aca="false">'Gastos objeto'!BL21*Supuestos!$C$82</f>
        <v>406451396.314656</v>
      </c>
      <c r="BM31" s="57" t="n">
        <f aca="false">'Gastos objeto'!BM21*Supuestos!$C$82</f>
        <v>416505545.495342</v>
      </c>
      <c r="BN31" s="57" t="n">
        <f aca="false">'Gastos objeto'!BN21*Supuestos!$C$82</f>
        <v>430426872.735141</v>
      </c>
      <c r="BO31" s="57" t="n">
        <f aca="false">'Gastos objeto'!BO21*Supuestos!$C$82</f>
        <v>430426872.735141</v>
      </c>
      <c r="BP31" s="57" t="n">
        <f aca="false">'Gastos objeto'!BP21*Supuestos!$C$82</f>
        <v>430426872.735141</v>
      </c>
      <c r="BQ31" s="57" t="n">
        <f aca="false">'Gastos objeto'!BQ21*Supuestos!$C$82</f>
        <v>430426872.735141</v>
      </c>
      <c r="BR31" s="57" t="n">
        <f aca="false">'Gastos objeto'!BR21*Supuestos!$C$82</f>
        <v>430426872.735141</v>
      </c>
      <c r="BS31" s="57" t="n">
        <f aca="false">'Gastos objeto'!BS21*Supuestos!$C$82</f>
        <v>430426872.735141</v>
      </c>
      <c r="BT31" s="57" t="n">
        <f aca="false">'Gastos objeto'!BT21*Supuestos!$C$82</f>
        <v>430426872.735141</v>
      </c>
      <c r="BU31" s="57" t="n">
        <f aca="false">'Gastos objeto'!BU21*Supuestos!$C$82</f>
        <v>431973615.515535</v>
      </c>
      <c r="BV31" s="57" t="n">
        <f aca="false">'Gastos objeto'!BV21*Supuestos!$C$82</f>
        <v>431973615.515535</v>
      </c>
      <c r="BW31" s="57" t="n">
        <f aca="false">'Gastos objeto'!BW21*Supuestos!$C$82</f>
        <v>409544881.875443</v>
      </c>
      <c r="BX31" s="57" t="n">
        <f aca="false">'Gastos objeto'!BX21*Supuestos!$C$82</f>
        <v>406451396.314656</v>
      </c>
      <c r="BY31" s="57" t="n">
        <f aca="false">'Gastos objeto'!BY21*Supuestos!$C$82</f>
        <v>416505545.495342</v>
      </c>
      <c r="BZ31" s="57" t="n">
        <f aca="false">'Gastos objeto'!BZ21*Supuestos!$C$82</f>
        <v>430426872.735141</v>
      </c>
      <c r="CA31" s="57" t="n">
        <f aca="false">'Gastos objeto'!CA21*Supuestos!$C$82</f>
        <v>430426872.735141</v>
      </c>
      <c r="CB31" s="57" t="n">
        <f aca="false">'Gastos objeto'!CB21*Supuestos!$C$82</f>
        <v>430426872.735141</v>
      </c>
      <c r="CC31" s="57" t="n">
        <f aca="false">'Gastos objeto'!CC21*Supuestos!$C$82</f>
        <v>430426872.735141</v>
      </c>
      <c r="CD31" s="57" t="n">
        <f aca="false">'Gastos objeto'!CD21*Supuestos!$C$82</f>
        <v>430426872.735141</v>
      </c>
      <c r="CE31" s="57" t="n">
        <f aca="false">'Gastos objeto'!CE21*Supuestos!$C$82</f>
        <v>430426872.735141</v>
      </c>
      <c r="CF31" s="57" t="n">
        <f aca="false">'Gastos objeto'!CF21*Supuestos!$C$82</f>
        <v>430426872.735141</v>
      </c>
      <c r="CG31" s="57" t="n">
        <f aca="false">'Gastos objeto'!CG21*Supuestos!$C$82</f>
        <v>431973615.515535</v>
      </c>
      <c r="CH31" s="57" t="n">
        <f aca="false">'Gastos objeto'!CH21*Supuestos!$C$82</f>
        <v>431973615.515535</v>
      </c>
      <c r="CI31" s="57" t="n">
        <f aca="false">'Gastos objeto'!CI21*Supuestos!$C$82</f>
        <v>409544881.875443</v>
      </c>
      <c r="CJ31" s="57" t="n">
        <f aca="false">'Gastos objeto'!CJ21*Supuestos!$C$82</f>
        <v>406451396.314656</v>
      </c>
      <c r="CK31" s="57" t="n">
        <f aca="false">'Gastos objeto'!CK21*Supuestos!$C$82</f>
        <v>416505545.495342</v>
      </c>
      <c r="CL31" s="57" t="n">
        <f aca="false">'Gastos objeto'!CL21*Supuestos!$C$82</f>
        <v>430426872.735141</v>
      </c>
      <c r="CM31" s="57" t="n">
        <f aca="false">'Gastos objeto'!CM21*Supuestos!$C$82</f>
        <v>430426872.735141</v>
      </c>
      <c r="CN31" s="57" t="n">
        <f aca="false">'Gastos objeto'!CN21*Supuestos!$C$82</f>
        <v>430426872.735141</v>
      </c>
      <c r="CO31" s="57" t="n">
        <f aca="false">'Gastos objeto'!CO21*Supuestos!$C$82</f>
        <v>430426872.735141</v>
      </c>
      <c r="CP31" s="57" t="n">
        <f aca="false">'Gastos objeto'!CP21*Supuestos!$C$82</f>
        <v>430426872.735141</v>
      </c>
      <c r="CQ31" s="57" t="n">
        <f aca="false">'Gastos objeto'!CQ21*Supuestos!$C$82</f>
        <v>430426872.735141</v>
      </c>
      <c r="CR31" s="57" t="n">
        <f aca="false">'Gastos objeto'!CR21*Supuestos!$C$82</f>
        <v>430426872.735141</v>
      </c>
      <c r="CS31" s="57" t="n">
        <f aca="false">'Gastos objeto'!CS21*Supuestos!$C$82</f>
        <v>431973615.515535</v>
      </c>
      <c r="CT31" s="57" t="n">
        <f aca="false">'Gastos objeto'!CT21*Supuestos!$C$82</f>
        <v>431973615.515535</v>
      </c>
    </row>
    <row r="32" customFormat="false" ht="15" hidden="false" customHeight="true" outlineLevel="0" collapsed="false">
      <c r="B32" s="19" t="s">
        <v>609</v>
      </c>
      <c r="C32" s="57" t="n">
        <f aca="false">'Gastos objeto'!C22*Supuestos!$C$83</f>
        <v>17344712.805078</v>
      </c>
      <c r="D32" s="57" t="n">
        <f aca="false">'Gastos objeto'!D22*Supuestos!$C$83</f>
        <v>23126283.740104</v>
      </c>
      <c r="E32" s="57" t="n">
        <f aca="false">'Gastos objeto'!E22*Supuestos!$C$83</f>
        <v>20235498.272591</v>
      </c>
      <c r="F32" s="57" t="n">
        <f aca="false">'Gastos objeto'!F22*Supuestos!$C$83</f>
        <v>34689425.610156</v>
      </c>
      <c r="G32" s="57" t="n">
        <f aca="false">'Gastos objeto'!G22*Supuestos!$C$83</f>
        <v>49143352.947721</v>
      </c>
      <c r="H32" s="57" t="n">
        <f aca="false">'Gastos objeto'!H22*Supuestos!$C$83</f>
        <v>54924923.882747</v>
      </c>
      <c r="I32" s="57" t="n">
        <f aca="false">'Gastos objeto'!I22*Supuestos!$C$83</f>
        <v>57815709.35026</v>
      </c>
      <c r="J32" s="57" t="n">
        <f aca="false">'Gastos objeto'!J22*Supuestos!$C$83</f>
        <v>57815709.35026</v>
      </c>
      <c r="K32" s="57" t="n">
        <f aca="false">'Gastos objeto'!K22*Supuestos!$C$83</f>
        <v>57815709.35026</v>
      </c>
      <c r="L32" s="57" t="n">
        <f aca="false">'Gastos objeto'!L22*Supuestos!$C$83</f>
        <v>57815709.35026</v>
      </c>
      <c r="M32" s="57" t="n">
        <f aca="false">'Gastos objeto'!M22*Supuestos!$C$83</f>
        <v>57815709.35026</v>
      </c>
      <c r="N32" s="57" t="n">
        <f aca="false">'Gastos objeto'!N22*Supuestos!$C$83</f>
        <v>54924923.882747</v>
      </c>
      <c r="O32" s="57" t="n">
        <f aca="false">'Gastos objeto'!O22*Supuestos!$C$83</f>
        <v>46252567.480208</v>
      </c>
      <c r="P32" s="57" t="n">
        <f aca="false">'Gastos objeto'!P22*Supuestos!$C$83</f>
        <v>28907854.67513</v>
      </c>
      <c r="Q32" s="57" t="n">
        <f aca="false">'Gastos objeto'!Q22*Supuestos!$C$83</f>
        <v>20235498.272591</v>
      </c>
      <c r="R32" s="57" t="n">
        <f aca="false">'Gastos objeto'!R22*Supuestos!$C$83</f>
        <v>34689425.610156</v>
      </c>
      <c r="S32" s="57" t="n">
        <f aca="false">'Gastos objeto'!S22*Supuestos!$C$83</f>
        <v>49143352.947721</v>
      </c>
      <c r="T32" s="57" t="n">
        <f aca="false">'Gastos objeto'!T22*Supuestos!$C$83</f>
        <v>54924923.882747</v>
      </c>
      <c r="U32" s="57" t="n">
        <f aca="false">'Gastos objeto'!U22*Supuestos!$C$83</f>
        <v>57815709.35026</v>
      </c>
      <c r="V32" s="57" t="n">
        <f aca="false">'Gastos objeto'!V22*Supuestos!$C$83</f>
        <v>57815709.35026</v>
      </c>
      <c r="W32" s="57" t="n">
        <f aca="false">'Gastos objeto'!W22*Supuestos!$C$83</f>
        <v>57815709.35026</v>
      </c>
      <c r="X32" s="57" t="n">
        <f aca="false">'Gastos objeto'!X22*Supuestos!$C$83</f>
        <v>57815709.35026</v>
      </c>
      <c r="Y32" s="57" t="n">
        <f aca="false">'Gastos objeto'!Y22*Supuestos!$C$83</f>
        <v>57815709.35026</v>
      </c>
      <c r="Z32" s="57" t="n">
        <f aca="false">'Gastos objeto'!Z22*Supuestos!$C$83</f>
        <v>54924923.882747</v>
      </c>
      <c r="AA32" s="57" t="n">
        <f aca="false">'Gastos objeto'!AA22*Supuestos!$C$83</f>
        <v>46252567.480208</v>
      </c>
      <c r="AB32" s="57" t="n">
        <f aca="false">'Gastos objeto'!AB22*Supuestos!$C$83</f>
        <v>28907854.67513</v>
      </c>
      <c r="AC32" s="57" t="n">
        <f aca="false">'Gastos objeto'!AC22*Supuestos!$C$83</f>
        <v>20235498.272591</v>
      </c>
      <c r="AD32" s="57" t="n">
        <f aca="false">'Gastos objeto'!AD22*Supuestos!$C$83</f>
        <v>34689425.610156</v>
      </c>
      <c r="AE32" s="57" t="n">
        <f aca="false">'Gastos objeto'!AE22*Supuestos!$C$83</f>
        <v>49143352.947721</v>
      </c>
      <c r="AF32" s="57" t="n">
        <f aca="false">'Gastos objeto'!AF22*Supuestos!$C$83</f>
        <v>54924923.882747</v>
      </c>
      <c r="AG32" s="57" t="n">
        <f aca="false">'Gastos objeto'!AG22*Supuestos!$C$83</f>
        <v>57815709.35026</v>
      </c>
      <c r="AH32" s="57" t="n">
        <f aca="false">'Gastos objeto'!AH22*Supuestos!$C$83</f>
        <v>57815709.35026</v>
      </c>
      <c r="AI32" s="57" t="n">
        <f aca="false">'Gastos objeto'!AI22*Supuestos!$C$83</f>
        <v>57815709.35026</v>
      </c>
      <c r="AJ32" s="57" t="n">
        <f aca="false">'Gastos objeto'!AJ22*Supuestos!$C$83</f>
        <v>57815709.35026</v>
      </c>
      <c r="AK32" s="57" t="n">
        <f aca="false">'Gastos objeto'!AK22*Supuestos!$C$83</f>
        <v>57815709.35026</v>
      </c>
      <c r="AL32" s="57" t="n">
        <f aca="false">'Gastos objeto'!AL22*Supuestos!$C$83</f>
        <v>54924923.882747</v>
      </c>
      <c r="AM32" s="57" t="n">
        <f aca="false">'Gastos objeto'!AM22*Supuestos!$C$83</f>
        <v>46252567.480208</v>
      </c>
      <c r="AN32" s="57" t="n">
        <f aca="false">'Gastos objeto'!AN22*Supuestos!$C$83</f>
        <v>28907854.67513</v>
      </c>
      <c r="AO32" s="57" t="n">
        <f aca="false">'Gastos objeto'!AO22*Supuestos!$C$83</f>
        <v>20235498.272591</v>
      </c>
      <c r="AP32" s="57" t="n">
        <f aca="false">'Gastos objeto'!AP22*Supuestos!$C$83</f>
        <v>34689425.610156</v>
      </c>
      <c r="AQ32" s="57" t="n">
        <f aca="false">'Gastos objeto'!AQ22*Supuestos!$C$83</f>
        <v>49143352.947721</v>
      </c>
      <c r="AR32" s="57" t="n">
        <f aca="false">'Gastos objeto'!AR22*Supuestos!$C$83</f>
        <v>54924923.882747</v>
      </c>
      <c r="AS32" s="57" t="n">
        <f aca="false">'Gastos objeto'!AS22*Supuestos!$C$83</f>
        <v>57815709.35026</v>
      </c>
      <c r="AT32" s="57" t="n">
        <f aca="false">'Gastos objeto'!AT22*Supuestos!$C$83</f>
        <v>57815709.35026</v>
      </c>
      <c r="AU32" s="57" t="n">
        <f aca="false">'Gastos objeto'!AU22*Supuestos!$C$83</f>
        <v>57815709.35026</v>
      </c>
      <c r="AV32" s="57" t="n">
        <f aca="false">'Gastos objeto'!AV22*Supuestos!$C$83</f>
        <v>57815709.35026</v>
      </c>
      <c r="AW32" s="57" t="n">
        <f aca="false">'Gastos objeto'!AW22*Supuestos!$C$83</f>
        <v>57815709.35026</v>
      </c>
      <c r="AX32" s="57" t="n">
        <f aca="false">'Gastos objeto'!AX22*Supuestos!$C$83</f>
        <v>54924923.882747</v>
      </c>
      <c r="AY32" s="57" t="n">
        <f aca="false">'Gastos objeto'!AY22*Supuestos!$C$83</f>
        <v>46252567.480208</v>
      </c>
      <c r="AZ32" s="57" t="n">
        <f aca="false">'Gastos objeto'!AZ22*Supuestos!$C$83</f>
        <v>28907854.67513</v>
      </c>
      <c r="BA32" s="57" t="n">
        <f aca="false">'Gastos objeto'!BA22*Supuestos!$C$83</f>
        <v>20235498.272591</v>
      </c>
      <c r="BB32" s="57" t="n">
        <f aca="false">'Gastos objeto'!BB22*Supuestos!$C$83</f>
        <v>34689425.610156</v>
      </c>
      <c r="BC32" s="57" t="n">
        <f aca="false">'Gastos objeto'!BC22*Supuestos!$C$83</f>
        <v>49143352.947721</v>
      </c>
      <c r="BD32" s="57" t="n">
        <f aca="false">'Gastos objeto'!BD22*Supuestos!$C$83</f>
        <v>54924923.882747</v>
      </c>
      <c r="BE32" s="57" t="n">
        <f aca="false">'Gastos objeto'!BE22*Supuestos!$C$83</f>
        <v>57815709.35026</v>
      </c>
      <c r="BF32" s="57" t="n">
        <f aca="false">'Gastos objeto'!BF22*Supuestos!$C$83</f>
        <v>57815709.35026</v>
      </c>
      <c r="BG32" s="57" t="n">
        <f aca="false">'Gastos objeto'!BG22*Supuestos!$C$83</f>
        <v>57815709.35026</v>
      </c>
      <c r="BH32" s="57" t="n">
        <f aca="false">'Gastos objeto'!BH22*Supuestos!$C$83</f>
        <v>57815709.35026</v>
      </c>
      <c r="BI32" s="57" t="n">
        <f aca="false">'Gastos objeto'!BI22*Supuestos!$C$83</f>
        <v>57815709.35026</v>
      </c>
      <c r="BJ32" s="57" t="n">
        <f aca="false">'Gastos objeto'!BJ22*Supuestos!$C$83</f>
        <v>54924923.882747</v>
      </c>
      <c r="BK32" s="57" t="n">
        <f aca="false">'Gastos objeto'!BK22*Supuestos!$C$83</f>
        <v>46252567.480208</v>
      </c>
      <c r="BL32" s="57" t="n">
        <f aca="false">'Gastos objeto'!BL22*Supuestos!$C$83</f>
        <v>28907854.67513</v>
      </c>
      <c r="BM32" s="57" t="n">
        <f aca="false">'Gastos objeto'!BM22*Supuestos!$C$83</f>
        <v>20235498.272591</v>
      </c>
      <c r="BN32" s="57" t="n">
        <f aca="false">'Gastos objeto'!BN22*Supuestos!$C$83</f>
        <v>34689425.610156</v>
      </c>
      <c r="BO32" s="57" t="n">
        <f aca="false">'Gastos objeto'!BO22*Supuestos!$C$83</f>
        <v>49143352.947721</v>
      </c>
      <c r="BP32" s="57" t="n">
        <f aca="false">'Gastos objeto'!BP22*Supuestos!$C$83</f>
        <v>54924923.882747</v>
      </c>
      <c r="BQ32" s="57" t="n">
        <f aca="false">'Gastos objeto'!BQ22*Supuestos!$C$83</f>
        <v>57815709.35026</v>
      </c>
      <c r="BR32" s="57" t="n">
        <f aca="false">'Gastos objeto'!BR22*Supuestos!$C$83</f>
        <v>57815709.35026</v>
      </c>
      <c r="BS32" s="57" t="n">
        <f aca="false">'Gastos objeto'!BS22*Supuestos!$C$83</f>
        <v>57815709.35026</v>
      </c>
      <c r="BT32" s="57" t="n">
        <f aca="false">'Gastos objeto'!BT22*Supuestos!$C$83</f>
        <v>57815709.35026</v>
      </c>
      <c r="BU32" s="57" t="n">
        <f aca="false">'Gastos objeto'!BU22*Supuestos!$C$83</f>
        <v>57815709.35026</v>
      </c>
      <c r="BV32" s="57" t="n">
        <f aca="false">'Gastos objeto'!BV22*Supuestos!$C$83</f>
        <v>54924923.882747</v>
      </c>
      <c r="BW32" s="57" t="n">
        <f aca="false">'Gastos objeto'!BW22*Supuestos!$C$83</f>
        <v>46252567.480208</v>
      </c>
      <c r="BX32" s="57" t="n">
        <f aca="false">'Gastos objeto'!BX22*Supuestos!$C$83</f>
        <v>28907854.67513</v>
      </c>
      <c r="BY32" s="57" t="n">
        <f aca="false">'Gastos objeto'!BY22*Supuestos!$C$83</f>
        <v>20235498.272591</v>
      </c>
      <c r="BZ32" s="57" t="n">
        <f aca="false">'Gastos objeto'!BZ22*Supuestos!$C$83</f>
        <v>34689425.610156</v>
      </c>
      <c r="CA32" s="57" t="n">
        <f aca="false">'Gastos objeto'!CA22*Supuestos!$C$83</f>
        <v>49143352.947721</v>
      </c>
      <c r="CB32" s="57" t="n">
        <f aca="false">'Gastos objeto'!CB22*Supuestos!$C$83</f>
        <v>54924923.882747</v>
      </c>
      <c r="CC32" s="57" t="n">
        <f aca="false">'Gastos objeto'!CC22*Supuestos!$C$83</f>
        <v>57815709.35026</v>
      </c>
      <c r="CD32" s="57" t="n">
        <f aca="false">'Gastos objeto'!CD22*Supuestos!$C$83</f>
        <v>57815709.35026</v>
      </c>
      <c r="CE32" s="57" t="n">
        <f aca="false">'Gastos objeto'!CE22*Supuestos!$C$83</f>
        <v>57815709.35026</v>
      </c>
      <c r="CF32" s="57" t="n">
        <f aca="false">'Gastos objeto'!CF22*Supuestos!$C$83</f>
        <v>57815709.35026</v>
      </c>
      <c r="CG32" s="57" t="n">
        <f aca="false">'Gastos objeto'!CG22*Supuestos!$C$83</f>
        <v>57815709.35026</v>
      </c>
      <c r="CH32" s="57" t="n">
        <f aca="false">'Gastos objeto'!CH22*Supuestos!$C$83</f>
        <v>54924923.882747</v>
      </c>
      <c r="CI32" s="57" t="n">
        <f aca="false">'Gastos objeto'!CI22*Supuestos!$C$83</f>
        <v>46252567.480208</v>
      </c>
      <c r="CJ32" s="57" t="n">
        <f aca="false">'Gastos objeto'!CJ22*Supuestos!$C$83</f>
        <v>28907854.67513</v>
      </c>
      <c r="CK32" s="57" t="n">
        <f aca="false">'Gastos objeto'!CK22*Supuestos!$C$83</f>
        <v>20235498.272591</v>
      </c>
      <c r="CL32" s="57" t="n">
        <f aca="false">'Gastos objeto'!CL22*Supuestos!$C$83</f>
        <v>34689425.610156</v>
      </c>
      <c r="CM32" s="57" t="n">
        <f aca="false">'Gastos objeto'!CM22*Supuestos!$C$83</f>
        <v>49143352.947721</v>
      </c>
      <c r="CN32" s="57" t="n">
        <f aca="false">'Gastos objeto'!CN22*Supuestos!$C$83</f>
        <v>54924923.882747</v>
      </c>
      <c r="CO32" s="57" t="n">
        <f aca="false">'Gastos objeto'!CO22*Supuestos!$C$83</f>
        <v>57815709.35026</v>
      </c>
      <c r="CP32" s="57" t="n">
        <f aca="false">'Gastos objeto'!CP22*Supuestos!$C$83</f>
        <v>57815709.35026</v>
      </c>
      <c r="CQ32" s="57" t="n">
        <f aca="false">'Gastos objeto'!CQ22*Supuestos!$C$83</f>
        <v>57815709.35026</v>
      </c>
      <c r="CR32" s="57" t="n">
        <f aca="false">'Gastos objeto'!CR22*Supuestos!$C$83</f>
        <v>57815709.35026</v>
      </c>
      <c r="CS32" s="57" t="n">
        <f aca="false">'Gastos objeto'!CS22*Supuestos!$C$83</f>
        <v>57815709.35026</v>
      </c>
      <c r="CT32" s="57" t="n">
        <f aca="false">'Gastos objeto'!CT22*Supuestos!$C$83</f>
        <v>54924923.882747</v>
      </c>
    </row>
    <row r="33" customFormat="false" ht="15" hidden="false" customHeight="true" outlineLevel="0" collapsed="false">
      <c r="B33" s="46" t="s">
        <v>610</v>
      </c>
      <c r="C33" s="58" t="n">
        <f aca="false">SUM(C30:C32)</f>
        <v>2471232517.71484</v>
      </c>
      <c r="D33" s="58" t="n">
        <f aca="false">SUM(D30:D32)</f>
        <v>2487068237.83056</v>
      </c>
      <c r="E33" s="58" t="n">
        <f aca="false">SUM(E30:E32)</f>
        <v>2484177452.36304</v>
      </c>
      <c r="F33" s="58" t="n">
        <f aca="false">SUM(F30:F32)</f>
        <v>2512552706.94041</v>
      </c>
      <c r="G33" s="58" t="n">
        <f aca="false">SUM(G30:G32)</f>
        <v>2527006634.27797</v>
      </c>
      <c r="H33" s="58" t="n">
        <f aca="false">SUM(H30:H32)</f>
        <v>3562845345.44284</v>
      </c>
      <c r="I33" s="58" t="n">
        <f aca="false">SUM(I30:I32)</f>
        <v>2535678990.68051</v>
      </c>
      <c r="J33" s="58" t="n">
        <f aca="false">SUM(J30:J32)</f>
        <v>2535678990.68051</v>
      </c>
      <c r="K33" s="58" t="n">
        <f aca="false">SUM(K30:K32)</f>
        <v>2535678990.68051</v>
      </c>
      <c r="L33" s="58" t="n">
        <f aca="false">SUM(L30:L32)</f>
        <v>2535678990.68051</v>
      </c>
      <c r="M33" s="58" t="n">
        <f aca="false">SUM(M30:M32)</f>
        <v>2537225733.4609</v>
      </c>
      <c r="N33" s="58" t="n">
        <f aca="false">SUM(N30:N32)</f>
        <v>3564392088.22324</v>
      </c>
      <c r="O33" s="58" t="n">
        <f aca="false">SUM(O30:O32)</f>
        <v>2503233857.95076</v>
      </c>
      <c r="P33" s="58" t="n">
        <f aca="false">SUM(P30:P32)</f>
        <v>2488559195.57344</v>
      </c>
      <c r="Q33" s="58" t="n">
        <f aca="false">SUM(Q30:Q32)</f>
        <v>2489940988.35159</v>
      </c>
      <c r="R33" s="58" t="n">
        <f aca="false">SUM(R30:R32)</f>
        <v>2518316242.92895</v>
      </c>
      <c r="S33" s="58" t="n">
        <f aca="false">SUM(S30:S32)</f>
        <v>2532770170.26652</v>
      </c>
      <c r="T33" s="58" t="n">
        <f aca="false">SUM(T30:T32)</f>
        <v>3568608881.43139</v>
      </c>
      <c r="U33" s="58" t="n">
        <f aca="false">SUM(U30:U32)</f>
        <v>2541442526.66906</v>
      </c>
      <c r="V33" s="58" t="n">
        <f aca="false">SUM(V30:V32)</f>
        <v>2541442526.66906</v>
      </c>
      <c r="W33" s="58" t="n">
        <f aca="false">SUM(W30:W32)</f>
        <v>2541442526.66906</v>
      </c>
      <c r="X33" s="58" t="n">
        <f aca="false">SUM(X30:X32)</f>
        <v>2541442526.66906</v>
      </c>
      <c r="Y33" s="58" t="n">
        <f aca="false">SUM(Y30:Y32)</f>
        <v>2542989269.44945</v>
      </c>
      <c r="Z33" s="58" t="n">
        <f aca="false">SUM(Z30:Z32)</f>
        <v>3570155624.21178</v>
      </c>
      <c r="AA33" s="58" t="n">
        <f aca="false">SUM(AA30:AA32)</f>
        <v>2508997393.93931</v>
      </c>
      <c r="AB33" s="58" t="n">
        <f aca="false">SUM(AB30:AB32)</f>
        <v>2493827566.24188</v>
      </c>
      <c r="AC33" s="58" t="n">
        <f aca="false">SUM(AC30:AC32)</f>
        <v>2495209359.02003</v>
      </c>
      <c r="AD33" s="58" t="n">
        <f aca="false">SUM(AD30:AD32)</f>
        <v>2523584613.59739</v>
      </c>
      <c r="AE33" s="58" t="n">
        <f aca="false">SUM(AE30:AE32)</f>
        <v>2538038540.93496</v>
      </c>
      <c r="AF33" s="58" t="n">
        <f aca="false">SUM(AF30:AF32)</f>
        <v>3573877252.09983</v>
      </c>
      <c r="AG33" s="58" t="n">
        <f aca="false">SUM(AG30:AG32)</f>
        <v>2546710897.33749</v>
      </c>
      <c r="AH33" s="58" t="n">
        <f aca="false">SUM(AH30:AH32)</f>
        <v>2546710897.33749</v>
      </c>
      <c r="AI33" s="58" t="n">
        <f aca="false">SUM(AI30:AI32)</f>
        <v>2546710897.33749</v>
      </c>
      <c r="AJ33" s="58" t="n">
        <f aca="false">SUM(AJ30:AJ32)</f>
        <v>2546710897.33749</v>
      </c>
      <c r="AK33" s="58" t="n">
        <f aca="false">SUM(AK30:AK32)</f>
        <v>2548257640.11789</v>
      </c>
      <c r="AL33" s="58" t="n">
        <f aca="false">SUM(AL30:AL32)</f>
        <v>3575423994.88022</v>
      </c>
      <c r="AM33" s="58" t="n">
        <f aca="false">SUM(AM30:AM32)</f>
        <v>2514265764.60774</v>
      </c>
      <c r="AN33" s="58" t="n">
        <f aca="false">SUM(AN30:AN32)</f>
        <v>2495473531.44948</v>
      </c>
      <c r="AO33" s="58" t="n">
        <f aca="false">SUM(AO30:AO32)</f>
        <v>2496855324.22763</v>
      </c>
      <c r="AP33" s="58" t="n">
        <f aca="false">SUM(AP30:AP32)</f>
        <v>2525230578.80499</v>
      </c>
      <c r="AQ33" s="58" t="n">
        <f aca="false">SUM(AQ30:AQ32)</f>
        <v>2539684506.14255</v>
      </c>
      <c r="AR33" s="58" t="n">
        <f aca="false">SUM(AR30:AR32)</f>
        <v>3575523217.30743</v>
      </c>
      <c r="AS33" s="58" t="n">
        <f aca="false">SUM(AS30:AS32)</f>
        <v>2548356862.54509</v>
      </c>
      <c r="AT33" s="58" t="n">
        <f aca="false">SUM(AT30:AT32)</f>
        <v>2548356862.54509</v>
      </c>
      <c r="AU33" s="58" t="n">
        <f aca="false">SUM(AU30:AU32)</f>
        <v>2548356862.54509</v>
      </c>
      <c r="AV33" s="58" t="n">
        <f aca="false">SUM(AV30:AV32)</f>
        <v>2548356862.54509</v>
      </c>
      <c r="AW33" s="58" t="n">
        <f aca="false">SUM(AW30:AW32)</f>
        <v>2549903605.32549</v>
      </c>
      <c r="AX33" s="58" t="n">
        <f aca="false">SUM(AX30:AX32)</f>
        <v>3577069960.08782</v>
      </c>
      <c r="AY33" s="58" t="n">
        <f aca="false">SUM(AY30:AY32)</f>
        <v>2515911729.81534</v>
      </c>
      <c r="AZ33" s="58" t="n">
        <f aca="false">SUM(AZ30:AZ32)</f>
        <v>2495473531.44948</v>
      </c>
      <c r="BA33" s="58" t="n">
        <f aca="false">SUM(BA30:BA32)</f>
        <v>2496855324.22763</v>
      </c>
      <c r="BB33" s="58" t="n">
        <f aca="false">SUM(BB30:BB32)</f>
        <v>2525230578.80499</v>
      </c>
      <c r="BC33" s="58" t="n">
        <f aca="false">SUM(BC30:BC32)</f>
        <v>2539684506.14255</v>
      </c>
      <c r="BD33" s="58" t="n">
        <f aca="false">SUM(BD30:BD32)</f>
        <v>3575523217.30743</v>
      </c>
      <c r="BE33" s="58" t="n">
        <f aca="false">SUM(BE30:BE32)</f>
        <v>2548356862.54509</v>
      </c>
      <c r="BF33" s="58" t="n">
        <f aca="false">SUM(BF30:BF32)</f>
        <v>2548356862.54509</v>
      </c>
      <c r="BG33" s="58" t="n">
        <f aca="false">SUM(BG30:BG32)</f>
        <v>2548356862.54509</v>
      </c>
      <c r="BH33" s="58" t="n">
        <f aca="false">SUM(BH30:BH32)</f>
        <v>2548356862.54509</v>
      </c>
      <c r="BI33" s="58" t="n">
        <f aca="false">SUM(BI30:BI32)</f>
        <v>2549903605.32549</v>
      </c>
      <c r="BJ33" s="58" t="n">
        <f aca="false">SUM(BJ30:BJ32)</f>
        <v>3577069960.08782</v>
      </c>
      <c r="BK33" s="58" t="n">
        <f aca="false">SUM(BK30:BK32)</f>
        <v>2515911729.81534</v>
      </c>
      <c r="BL33" s="58" t="n">
        <f aca="false">SUM(BL30:BL32)</f>
        <v>2495473531.44948</v>
      </c>
      <c r="BM33" s="58" t="n">
        <f aca="false">SUM(BM30:BM32)</f>
        <v>2496855324.22763</v>
      </c>
      <c r="BN33" s="58" t="n">
        <f aca="false">SUM(BN30:BN32)</f>
        <v>2525230578.80499</v>
      </c>
      <c r="BO33" s="58" t="n">
        <f aca="false">SUM(BO30:BO32)</f>
        <v>2539684506.14255</v>
      </c>
      <c r="BP33" s="58" t="n">
        <f aca="false">SUM(BP30:BP32)</f>
        <v>3575523217.30743</v>
      </c>
      <c r="BQ33" s="58" t="n">
        <f aca="false">SUM(BQ30:BQ32)</f>
        <v>2548356862.54509</v>
      </c>
      <c r="BR33" s="58" t="n">
        <f aca="false">SUM(BR30:BR32)</f>
        <v>2548356862.54509</v>
      </c>
      <c r="BS33" s="58" t="n">
        <f aca="false">SUM(BS30:BS32)</f>
        <v>2548356862.54509</v>
      </c>
      <c r="BT33" s="58" t="n">
        <f aca="false">SUM(BT30:BT32)</f>
        <v>2548356862.54509</v>
      </c>
      <c r="BU33" s="58" t="n">
        <f aca="false">SUM(BU30:BU32)</f>
        <v>2549903605.32549</v>
      </c>
      <c r="BV33" s="58" t="n">
        <f aca="false">SUM(BV30:BV32)</f>
        <v>3577069960.08782</v>
      </c>
      <c r="BW33" s="58" t="n">
        <f aca="false">SUM(BW30:BW32)</f>
        <v>2515911729.81534</v>
      </c>
      <c r="BX33" s="58" t="n">
        <f aca="false">SUM(BX30:BX32)</f>
        <v>2495473531.44948</v>
      </c>
      <c r="BY33" s="58" t="n">
        <f aca="false">SUM(BY30:BY32)</f>
        <v>2496855324.22763</v>
      </c>
      <c r="BZ33" s="58" t="n">
        <f aca="false">SUM(BZ30:BZ32)</f>
        <v>2525230578.80499</v>
      </c>
      <c r="CA33" s="58" t="n">
        <f aca="false">SUM(CA30:CA32)</f>
        <v>2539684506.14255</v>
      </c>
      <c r="CB33" s="58" t="n">
        <f aca="false">SUM(CB30:CB32)</f>
        <v>3575523217.30743</v>
      </c>
      <c r="CC33" s="58" t="n">
        <f aca="false">SUM(CC30:CC32)</f>
        <v>2548356862.54509</v>
      </c>
      <c r="CD33" s="58" t="n">
        <f aca="false">SUM(CD30:CD32)</f>
        <v>2548356862.54509</v>
      </c>
      <c r="CE33" s="58" t="n">
        <f aca="false">SUM(CE30:CE32)</f>
        <v>2548356862.54509</v>
      </c>
      <c r="CF33" s="58" t="n">
        <f aca="false">SUM(CF30:CF32)</f>
        <v>2548356862.54509</v>
      </c>
      <c r="CG33" s="58" t="n">
        <f aca="false">SUM(CG30:CG32)</f>
        <v>2549903605.32549</v>
      </c>
      <c r="CH33" s="58" t="n">
        <f aca="false">SUM(CH30:CH32)</f>
        <v>3577069960.08782</v>
      </c>
      <c r="CI33" s="58" t="n">
        <f aca="false">SUM(CI30:CI32)</f>
        <v>2515911729.81534</v>
      </c>
      <c r="CJ33" s="58" t="n">
        <f aca="false">SUM(CJ30:CJ32)</f>
        <v>2495473531.44948</v>
      </c>
      <c r="CK33" s="58" t="n">
        <f aca="false">SUM(CK30:CK32)</f>
        <v>2496855324.22763</v>
      </c>
      <c r="CL33" s="58" t="n">
        <f aca="false">SUM(CL30:CL32)</f>
        <v>2525230578.80499</v>
      </c>
      <c r="CM33" s="58" t="n">
        <f aca="false">SUM(CM30:CM32)</f>
        <v>2539684506.14255</v>
      </c>
      <c r="CN33" s="58" t="n">
        <f aca="false">SUM(CN30:CN32)</f>
        <v>3575523217.30743</v>
      </c>
      <c r="CO33" s="58" t="n">
        <f aca="false">SUM(CO30:CO32)</f>
        <v>2548356862.54509</v>
      </c>
      <c r="CP33" s="58" t="n">
        <f aca="false">SUM(CP30:CP32)</f>
        <v>2548356862.54509</v>
      </c>
      <c r="CQ33" s="58" t="n">
        <f aca="false">SUM(CQ30:CQ32)</f>
        <v>2548356862.54509</v>
      </c>
      <c r="CR33" s="58" t="n">
        <f aca="false">SUM(CR30:CR32)</f>
        <v>2548356862.54509</v>
      </c>
      <c r="CS33" s="58" t="n">
        <f aca="false">SUM(CS30:CS32)</f>
        <v>2549903605.32549</v>
      </c>
      <c r="CT33" s="58" t="n">
        <f aca="false">SUM(CT30:CT32)</f>
        <v>3577069960.08782</v>
      </c>
    </row>
    <row r="34" customFormat="false" ht="15" hidden="false" customHeight="true" outlineLevel="0" collapsed="false">
      <c r="B34" s="19" t="s">
        <v>611</v>
      </c>
      <c r="C34" s="57" t="n">
        <f aca="false">0</f>
        <v>0</v>
      </c>
      <c r="D34" s="57" t="n">
        <f aca="false">C33</f>
        <v>2471232517.71484</v>
      </c>
      <c r="E34" s="57" t="n">
        <f aca="false">D33</f>
        <v>2487068237.83056</v>
      </c>
      <c r="F34" s="57" t="n">
        <f aca="false">E33</f>
        <v>2484177452.36304</v>
      </c>
      <c r="G34" s="57" t="n">
        <f aca="false">F33</f>
        <v>2512552706.94041</v>
      </c>
      <c r="H34" s="57" t="n">
        <f aca="false">G33</f>
        <v>2527006634.27797</v>
      </c>
      <c r="I34" s="57" t="n">
        <f aca="false">H33</f>
        <v>3562845345.44284</v>
      </c>
      <c r="J34" s="57" t="n">
        <f aca="false">I33</f>
        <v>2535678990.68051</v>
      </c>
      <c r="K34" s="57" t="n">
        <f aca="false">J33</f>
        <v>2535678990.68051</v>
      </c>
      <c r="L34" s="57" t="n">
        <f aca="false">K33</f>
        <v>2535678990.68051</v>
      </c>
      <c r="M34" s="57" t="n">
        <f aca="false">L33</f>
        <v>2535678990.68051</v>
      </c>
      <c r="N34" s="57" t="n">
        <f aca="false">M33</f>
        <v>2537225733.4609</v>
      </c>
      <c r="O34" s="57" t="n">
        <f aca="false">N33</f>
        <v>3564392088.22324</v>
      </c>
      <c r="P34" s="57" t="n">
        <f aca="false">O33</f>
        <v>2503233857.95076</v>
      </c>
      <c r="Q34" s="57" t="n">
        <f aca="false">P33</f>
        <v>2488559195.57344</v>
      </c>
      <c r="R34" s="57" t="n">
        <f aca="false">Q33</f>
        <v>2489940988.35159</v>
      </c>
      <c r="S34" s="57" t="n">
        <f aca="false">R33</f>
        <v>2518316242.92895</v>
      </c>
      <c r="T34" s="57" t="n">
        <f aca="false">S33</f>
        <v>2532770170.26652</v>
      </c>
      <c r="U34" s="57" t="n">
        <f aca="false">T33</f>
        <v>3568608881.43139</v>
      </c>
      <c r="V34" s="57" t="n">
        <f aca="false">U33</f>
        <v>2541442526.66906</v>
      </c>
      <c r="W34" s="57" t="n">
        <f aca="false">V33</f>
        <v>2541442526.66906</v>
      </c>
      <c r="X34" s="57" t="n">
        <f aca="false">W33</f>
        <v>2541442526.66906</v>
      </c>
      <c r="Y34" s="57" t="n">
        <f aca="false">X33</f>
        <v>2541442526.66906</v>
      </c>
      <c r="Z34" s="57" t="n">
        <f aca="false">Y33</f>
        <v>2542989269.44945</v>
      </c>
      <c r="AA34" s="57" t="n">
        <f aca="false">Z33</f>
        <v>3570155624.21178</v>
      </c>
      <c r="AB34" s="57" t="n">
        <f aca="false">AA33</f>
        <v>2508997393.93931</v>
      </c>
      <c r="AC34" s="57" t="n">
        <f aca="false">AB33</f>
        <v>2493827566.24188</v>
      </c>
      <c r="AD34" s="57" t="n">
        <f aca="false">AC33</f>
        <v>2495209359.02003</v>
      </c>
      <c r="AE34" s="57" t="n">
        <f aca="false">AD33</f>
        <v>2523584613.59739</v>
      </c>
      <c r="AF34" s="57" t="n">
        <f aca="false">AE33</f>
        <v>2538038540.93496</v>
      </c>
      <c r="AG34" s="57" t="n">
        <f aca="false">AF33</f>
        <v>3573877252.09983</v>
      </c>
      <c r="AH34" s="57" t="n">
        <f aca="false">AG33</f>
        <v>2546710897.33749</v>
      </c>
      <c r="AI34" s="57" t="n">
        <f aca="false">AH33</f>
        <v>2546710897.33749</v>
      </c>
      <c r="AJ34" s="57" t="n">
        <f aca="false">AI33</f>
        <v>2546710897.33749</v>
      </c>
      <c r="AK34" s="57" t="n">
        <f aca="false">AJ33</f>
        <v>2546710897.33749</v>
      </c>
      <c r="AL34" s="57" t="n">
        <f aca="false">AK33</f>
        <v>2548257640.11789</v>
      </c>
      <c r="AM34" s="57" t="n">
        <f aca="false">AL33</f>
        <v>3575423994.88022</v>
      </c>
      <c r="AN34" s="57" t="n">
        <f aca="false">AM33</f>
        <v>2514265764.60774</v>
      </c>
      <c r="AO34" s="57" t="n">
        <f aca="false">AN33</f>
        <v>2495473531.44948</v>
      </c>
      <c r="AP34" s="57" t="n">
        <f aca="false">AO33</f>
        <v>2496855324.22763</v>
      </c>
      <c r="AQ34" s="57" t="n">
        <f aca="false">AP33</f>
        <v>2525230578.80499</v>
      </c>
      <c r="AR34" s="57" t="n">
        <f aca="false">AQ33</f>
        <v>2539684506.14255</v>
      </c>
      <c r="AS34" s="57" t="n">
        <f aca="false">AR33</f>
        <v>3575523217.30743</v>
      </c>
      <c r="AT34" s="57" t="n">
        <f aca="false">AS33</f>
        <v>2548356862.54509</v>
      </c>
      <c r="AU34" s="57" t="n">
        <f aca="false">AT33</f>
        <v>2548356862.54509</v>
      </c>
      <c r="AV34" s="57" t="n">
        <f aca="false">AU33</f>
        <v>2548356862.54509</v>
      </c>
      <c r="AW34" s="57" t="n">
        <f aca="false">AV33</f>
        <v>2548356862.54509</v>
      </c>
      <c r="AX34" s="57" t="n">
        <f aca="false">AW33</f>
        <v>2549903605.32549</v>
      </c>
      <c r="AY34" s="57" t="n">
        <f aca="false">AX33</f>
        <v>3577069960.08782</v>
      </c>
      <c r="AZ34" s="57" t="n">
        <f aca="false">AY33</f>
        <v>2515911729.81534</v>
      </c>
      <c r="BA34" s="57" t="n">
        <f aca="false">AZ33</f>
        <v>2495473531.44948</v>
      </c>
      <c r="BB34" s="57" t="n">
        <f aca="false">BA33</f>
        <v>2496855324.22763</v>
      </c>
      <c r="BC34" s="57" t="n">
        <f aca="false">BB33</f>
        <v>2525230578.80499</v>
      </c>
      <c r="BD34" s="57" t="n">
        <f aca="false">BC33</f>
        <v>2539684506.14255</v>
      </c>
      <c r="BE34" s="57" t="n">
        <f aca="false">BD33</f>
        <v>3575523217.30743</v>
      </c>
      <c r="BF34" s="57" t="n">
        <f aca="false">BE33</f>
        <v>2548356862.54509</v>
      </c>
      <c r="BG34" s="57" t="n">
        <f aca="false">BF33</f>
        <v>2548356862.54509</v>
      </c>
      <c r="BH34" s="57" t="n">
        <f aca="false">BG33</f>
        <v>2548356862.54509</v>
      </c>
      <c r="BI34" s="57" t="n">
        <f aca="false">BH33</f>
        <v>2548356862.54509</v>
      </c>
      <c r="BJ34" s="57" t="n">
        <f aca="false">BI33</f>
        <v>2549903605.32549</v>
      </c>
      <c r="BK34" s="57" t="n">
        <f aca="false">BJ33</f>
        <v>3577069960.08782</v>
      </c>
      <c r="BL34" s="57" t="n">
        <f aca="false">BK33</f>
        <v>2515911729.81534</v>
      </c>
      <c r="BM34" s="57" t="n">
        <f aca="false">BL33</f>
        <v>2495473531.44948</v>
      </c>
      <c r="BN34" s="57" t="n">
        <f aca="false">BM33</f>
        <v>2496855324.22763</v>
      </c>
      <c r="BO34" s="57" t="n">
        <f aca="false">BN33</f>
        <v>2525230578.80499</v>
      </c>
      <c r="BP34" s="57" t="n">
        <f aca="false">BO33</f>
        <v>2539684506.14255</v>
      </c>
      <c r="BQ34" s="57" t="n">
        <f aca="false">BP33</f>
        <v>3575523217.30743</v>
      </c>
      <c r="BR34" s="57" t="n">
        <f aca="false">BQ33</f>
        <v>2548356862.54509</v>
      </c>
      <c r="BS34" s="57" t="n">
        <f aca="false">BR33</f>
        <v>2548356862.54509</v>
      </c>
      <c r="BT34" s="57" t="n">
        <f aca="false">BS33</f>
        <v>2548356862.54509</v>
      </c>
      <c r="BU34" s="57" t="n">
        <f aca="false">BT33</f>
        <v>2548356862.54509</v>
      </c>
      <c r="BV34" s="57" t="n">
        <f aca="false">BU33</f>
        <v>2549903605.32549</v>
      </c>
      <c r="BW34" s="57" t="n">
        <f aca="false">BV33</f>
        <v>3577069960.08782</v>
      </c>
      <c r="BX34" s="57" t="n">
        <f aca="false">BW33</f>
        <v>2515911729.81534</v>
      </c>
      <c r="BY34" s="57" t="n">
        <f aca="false">BX33</f>
        <v>2495473531.44948</v>
      </c>
      <c r="BZ34" s="57" t="n">
        <f aca="false">BY33</f>
        <v>2496855324.22763</v>
      </c>
      <c r="CA34" s="57" t="n">
        <f aca="false">BZ33</f>
        <v>2525230578.80499</v>
      </c>
      <c r="CB34" s="57" t="n">
        <f aca="false">CA33</f>
        <v>2539684506.14255</v>
      </c>
      <c r="CC34" s="57" t="n">
        <f aca="false">CB33</f>
        <v>3575523217.30743</v>
      </c>
      <c r="CD34" s="57" t="n">
        <f aca="false">CC33</f>
        <v>2548356862.54509</v>
      </c>
      <c r="CE34" s="57" t="n">
        <f aca="false">CD33</f>
        <v>2548356862.54509</v>
      </c>
      <c r="CF34" s="57" t="n">
        <f aca="false">CE33</f>
        <v>2548356862.54509</v>
      </c>
      <c r="CG34" s="57" t="n">
        <f aca="false">CF33</f>
        <v>2548356862.54509</v>
      </c>
      <c r="CH34" s="57" t="n">
        <f aca="false">CG33</f>
        <v>2549903605.32549</v>
      </c>
      <c r="CI34" s="57" t="n">
        <f aca="false">CH33</f>
        <v>3577069960.08782</v>
      </c>
      <c r="CJ34" s="57" t="n">
        <f aca="false">CI33</f>
        <v>2515911729.81534</v>
      </c>
      <c r="CK34" s="57" t="n">
        <f aca="false">CJ33</f>
        <v>2495473531.44948</v>
      </c>
      <c r="CL34" s="57" t="n">
        <f aca="false">CK33</f>
        <v>2496855324.22763</v>
      </c>
      <c r="CM34" s="57" t="n">
        <f aca="false">CL33</f>
        <v>2525230578.80499</v>
      </c>
      <c r="CN34" s="57" t="n">
        <f aca="false">CM33</f>
        <v>2539684506.14255</v>
      </c>
      <c r="CO34" s="57" t="n">
        <f aca="false">CN33</f>
        <v>3575523217.30743</v>
      </c>
      <c r="CP34" s="57" t="n">
        <f aca="false">CO33</f>
        <v>2548356862.54509</v>
      </c>
      <c r="CQ34" s="57" t="n">
        <f aca="false">CP33</f>
        <v>2548356862.54509</v>
      </c>
      <c r="CR34" s="57" t="n">
        <f aca="false">CQ33</f>
        <v>2548356862.54509</v>
      </c>
      <c r="CS34" s="57" t="n">
        <f aca="false">CR33</f>
        <v>2548356862.54509</v>
      </c>
      <c r="CT34" s="57" t="n">
        <f aca="false">CS33</f>
        <v>2549903605.32549</v>
      </c>
    </row>
    <row r="35" customFormat="false" ht="15" hidden="false" customHeight="true" outlineLevel="0" collapsed="false">
      <c r="B35" s="46" t="s">
        <v>612</v>
      </c>
      <c r="C35" s="58" t="n">
        <f aca="false">C33-C34</f>
        <v>2471232517.71484</v>
      </c>
      <c r="D35" s="58" t="n">
        <f aca="false">D33-D34</f>
        <v>15835720.1157122</v>
      </c>
      <c r="E35" s="58" t="n">
        <f aca="false">E33-E34</f>
        <v>-2890785.46751308</v>
      </c>
      <c r="F35" s="58" t="n">
        <f aca="false">F33-F34</f>
        <v>28375254.577364</v>
      </c>
      <c r="G35" s="58" t="n">
        <f aca="false">G33-G34</f>
        <v>14453927.3375649</v>
      </c>
      <c r="H35" s="58" t="n">
        <f aca="false">H33-H34</f>
        <v>1035838711.16487</v>
      </c>
      <c r="I35" s="58" t="n">
        <f aca="false">I33-I34</f>
        <v>-1027166354.76233</v>
      </c>
      <c r="J35" s="58" t="n">
        <f aca="false">J33-J34</f>
        <v>0</v>
      </c>
      <c r="K35" s="58" t="n">
        <f aca="false">K33-K34</f>
        <v>0</v>
      </c>
      <c r="L35" s="58" t="n">
        <f aca="false">L33-L34</f>
        <v>0</v>
      </c>
      <c r="M35" s="58" t="n">
        <f aca="false">M33-M34</f>
        <v>1546742.78039312</v>
      </c>
      <c r="N35" s="58" t="n">
        <f aca="false">N33-N34</f>
        <v>1027166354.76233</v>
      </c>
      <c r="O35" s="58" t="n">
        <f aca="false">O33-O34</f>
        <v>-1061158230.27248</v>
      </c>
      <c r="P35" s="58" t="n">
        <f aca="false">P33-P34</f>
        <v>-14674662.3773198</v>
      </c>
      <c r="Q35" s="58" t="n">
        <f aca="false">Q33-Q34</f>
        <v>1381792.77814722</v>
      </c>
      <c r="R35" s="58" t="n">
        <f aca="false">R33-R34</f>
        <v>28375254.577364</v>
      </c>
      <c r="S35" s="58" t="n">
        <f aca="false">S33-S34</f>
        <v>14453927.3375649</v>
      </c>
      <c r="T35" s="58" t="n">
        <f aca="false">T33-T34</f>
        <v>1035838711.16487</v>
      </c>
      <c r="U35" s="58" t="n">
        <f aca="false">U33-U34</f>
        <v>-1027166354.76233</v>
      </c>
      <c r="V35" s="58" t="n">
        <f aca="false">V33-V34</f>
        <v>0</v>
      </c>
      <c r="W35" s="58" t="n">
        <f aca="false">W33-W34</f>
        <v>0</v>
      </c>
      <c r="X35" s="58" t="n">
        <f aca="false">X33-X34</f>
        <v>0</v>
      </c>
      <c r="Y35" s="58" t="n">
        <f aca="false">Y33-Y34</f>
        <v>1546742.7803936</v>
      </c>
      <c r="Z35" s="58" t="n">
        <f aca="false">Z33-Z34</f>
        <v>1027166354.76233</v>
      </c>
      <c r="AA35" s="58" t="n">
        <f aca="false">AA33-AA34</f>
        <v>-1061158230.27248</v>
      </c>
      <c r="AB35" s="58" t="n">
        <f aca="false">AB33-AB34</f>
        <v>-15169827.6974254</v>
      </c>
      <c r="AC35" s="58" t="n">
        <f aca="false">AC33-AC34</f>
        <v>1381792.77814722</v>
      </c>
      <c r="AD35" s="58" t="n">
        <f aca="false">AD33-AD34</f>
        <v>28375254.577364</v>
      </c>
      <c r="AE35" s="58" t="n">
        <f aca="false">AE33-AE34</f>
        <v>14453927.3375649</v>
      </c>
      <c r="AF35" s="58" t="n">
        <f aca="false">AF33-AF34</f>
        <v>1035838711.16487</v>
      </c>
      <c r="AG35" s="58" t="n">
        <f aca="false">AG33-AG34</f>
        <v>-1027166354.76233</v>
      </c>
      <c r="AH35" s="58" t="n">
        <f aca="false">AH33-AH34</f>
        <v>0</v>
      </c>
      <c r="AI35" s="58" t="n">
        <f aca="false">AI33-AI34</f>
        <v>0</v>
      </c>
      <c r="AJ35" s="58" t="n">
        <f aca="false">AJ33-AJ34</f>
        <v>0</v>
      </c>
      <c r="AK35" s="58" t="n">
        <f aca="false">AK33-AK34</f>
        <v>1546742.78039312</v>
      </c>
      <c r="AL35" s="58" t="n">
        <f aca="false">AL33-AL34</f>
        <v>1027166354.76233</v>
      </c>
      <c r="AM35" s="58" t="n">
        <f aca="false">AM33-AM34</f>
        <v>-1061158230.27248</v>
      </c>
      <c r="AN35" s="58" t="n">
        <f aca="false">AN33-AN34</f>
        <v>-18792233.1582651</v>
      </c>
      <c r="AO35" s="58" t="n">
        <f aca="false">AO33-AO34</f>
        <v>1381792.77814722</v>
      </c>
      <c r="AP35" s="58" t="n">
        <f aca="false">AP33-AP34</f>
        <v>28375254.577364</v>
      </c>
      <c r="AQ35" s="58" t="n">
        <f aca="false">AQ33-AQ34</f>
        <v>14453927.3375649</v>
      </c>
      <c r="AR35" s="58" t="n">
        <f aca="false">AR33-AR34</f>
        <v>1035838711.16487</v>
      </c>
      <c r="AS35" s="58" t="n">
        <f aca="false">AS33-AS34</f>
        <v>-1027166354.76233</v>
      </c>
      <c r="AT35" s="58" t="n">
        <f aca="false">AT33-AT34</f>
        <v>0</v>
      </c>
      <c r="AU35" s="58" t="n">
        <f aca="false">AU33-AU34</f>
        <v>0</v>
      </c>
      <c r="AV35" s="58" t="n">
        <f aca="false">AV33-AV34</f>
        <v>0</v>
      </c>
      <c r="AW35" s="58" t="n">
        <f aca="false">AW33-AW34</f>
        <v>1546742.78039312</v>
      </c>
      <c r="AX35" s="58" t="n">
        <f aca="false">AX33-AX34</f>
        <v>1027166354.76233</v>
      </c>
      <c r="AY35" s="58" t="n">
        <f aca="false">AY33-AY34</f>
        <v>-1061158230.27248</v>
      </c>
      <c r="AZ35" s="58" t="n">
        <f aca="false">AZ33-AZ34</f>
        <v>-20438198.3658643</v>
      </c>
      <c r="BA35" s="58" t="n">
        <f aca="false">BA33-BA34</f>
        <v>1381792.77814722</v>
      </c>
      <c r="BB35" s="58" t="n">
        <f aca="false">BB33-BB34</f>
        <v>28375254.577364</v>
      </c>
      <c r="BC35" s="58" t="n">
        <f aca="false">BC33-BC34</f>
        <v>14453927.3375649</v>
      </c>
      <c r="BD35" s="58" t="n">
        <f aca="false">BD33-BD34</f>
        <v>1035838711.16487</v>
      </c>
      <c r="BE35" s="58" t="n">
        <f aca="false">BE33-BE34</f>
        <v>-1027166354.76233</v>
      </c>
      <c r="BF35" s="58" t="n">
        <f aca="false">BF33-BF34</f>
        <v>0</v>
      </c>
      <c r="BG35" s="58" t="n">
        <f aca="false">BG33-BG34</f>
        <v>0</v>
      </c>
      <c r="BH35" s="58" t="n">
        <f aca="false">BH33-BH34</f>
        <v>0</v>
      </c>
      <c r="BI35" s="58" t="n">
        <f aca="false">BI33-BI34</f>
        <v>1546742.78039312</v>
      </c>
      <c r="BJ35" s="58" t="n">
        <f aca="false">BJ33-BJ34</f>
        <v>1027166354.76233</v>
      </c>
      <c r="BK35" s="58" t="n">
        <f aca="false">BK33-BK34</f>
        <v>-1061158230.27248</v>
      </c>
      <c r="BL35" s="58" t="n">
        <f aca="false">BL33-BL34</f>
        <v>-20438198.3658643</v>
      </c>
      <c r="BM35" s="58" t="n">
        <f aca="false">BM33-BM34</f>
        <v>1381792.77814722</v>
      </c>
      <c r="BN35" s="58" t="n">
        <f aca="false">BN33-BN34</f>
        <v>28375254.577364</v>
      </c>
      <c r="BO35" s="58" t="n">
        <f aca="false">BO33-BO34</f>
        <v>14453927.3375649</v>
      </c>
      <c r="BP35" s="58" t="n">
        <f aca="false">BP33-BP34</f>
        <v>1035838711.16487</v>
      </c>
      <c r="BQ35" s="58" t="n">
        <f aca="false">BQ33-BQ34</f>
        <v>-1027166354.76233</v>
      </c>
      <c r="BR35" s="58" t="n">
        <f aca="false">BR33-BR34</f>
        <v>0</v>
      </c>
      <c r="BS35" s="58" t="n">
        <f aca="false">BS33-BS34</f>
        <v>0</v>
      </c>
      <c r="BT35" s="58" t="n">
        <f aca="false">BT33-BT34</f>
        <v>0</v>
      </c>
      <c r="BU35" s="58" t="n">
        <f aca="false">BU33-BU34</f>
        <v>1546742.78039312</v>
      </c>
      <c r="BV35" s="58" t="n">
        <f aca="false">BV33-BV34</f>
        <v>1027166354.76233</v>
      </c>
      <c r="BW35" s="58" t="n">
        <f aca="false">BW33-BW34</f>
        <v>-1061158230.27248</v>
      </c>
      <c r="BX35" s="58" t="n">
        <f aca="false">BX33-BX34</f>
        <v>-20438198.3658643</v>
      </c>
      <c r="BY35" s="58" t="n">
        <f aca="false">BY33-BY34</f>
        <v>1381792.77814722</v>
      </c>
      <c r="BZ35" s="58" t="n">
        <f aca="false">BZ33-BZ34</f>
        <v>28375254.577364</v>
      </c>
      <c r="CA35" s="58" t="n">
        <f aca="false">CA33-CA34</f>
        <v>14453927.3375649</v>
      </c>
      <c r="CB35" s="58" t="n">
        <f aca="false">CB33-CB34</f>
        <v>1035838711.16487</v>
      </c>
      <c r="CC35" s="58" t="n">
        <f aca="false">CC33-CC34</f>
        <v>-1027166354.76233</v>
      </c>
      <c r="CD35" s="58" t="n">
        <f aca="false">CD33-CD34</f>
        <v>0</v>
      </c>
      <c r="CE35" s="58" t="n">
        <f aca="false">CE33-CE34</f>
        <v>0</v>
      </c>
      <c r="CF35" s="58" t="n">
        <f aca="false">CF33-CF34</f>
        <v>0</v>
      </c>
      <c r="CG35" s="58" t="n">
        <f aca="false">CG33-CG34</f>
        <v>1546742.78039312</v>
      </c>
      <c r="CH35" s="58" t="n">
        <f aca="false">CH33-CH34</f>
        <v>1027166354.76233</v>
      </c>
      <c r="CI35" s="58" t="n">
        <f aca="false">CI33-CI34</f>
        <v>-1061158230.27248</v>
      </c>
      <c r="CJ35" s="58" t="n">
        <f aca="false">CJ33-CJ34</f>
        <v>-20438198.3658643</v>
      </c>
      <c r="CK35" s="58" t="n">
        <f aca="false">CK33-CK34</f>
        <v>1381792.77814722</v>
      </c>
      <c r="CL35" s="58" t="n">
        <f aca="false">CL33-CL34</f>
        <v>28375254.577364</v>
      </c>
      <c r="CM35" s="58" t="n">
        <f aca="false">CM33-CM34</f>
        <v>14453927.3375649</v>
      </c>
      <c r="CN35" s="58" t="n">
        <f aca="false">CN33-CN34</f>
        <v>1035838711.16487</v>
      </c>
      <c r="CO35" s="58" t="n">
        <f aca="false">CO33-CO34</f>
        <v>-1027166354.76233</v>
      </c>
      <c r="CP35" s="58" t="n">
        <f aca="false">CP33-CP34</f>
        <v>0</v>
      </c>
      <c r="CQ35" s="58" t="n">
        <f aca="false">CQ33-CQ34</f>
        <v>0</v>
      </c>
      <c r="CR35" s="58" t="n">
        <f aca="false">CR33-CR34</f>
        <v>0</v>
      </c>
      <c r="CS35" s="58" t="n">
        <f aca="false">CS33-CS34</f>
        <v>1546742.78039312</v>
      </c>
      <c r="CT35" s="58" t="n">
        <f aca="false">CT33-CT34</f>
        <v>1027166354.76233</v>
      </c>
    </row>
    <row r="36" customFormat="false" ht="15" hidden="false" customHeight="true" outlineLevel="0" collapsed="false">
      <c r="B36" s="46" t="s">
        <v>613</v>
      </c>
      <c r="C36" s="58" t="n">
        <f aca="false">C10+C35</f>
        <v>2471232517.71484</v>
      </c>
      <c r="D36" s="58" t="n">
        <f aca="false">D10+D35</f>
        <v>2487068237.83056</v>
      </c>
      <c r="E36" s="58" t="n">
        <f aca="false">E10+E35</f>
        <v>2484177452.36304</v>
      </c>
      <c r="F36" s="58" t="n">
        <f aca="false">F10+F35</f>
        <v>2512552706.94041</v>
      </c>
      <c r="G36" s="58" t="n">
        <f aca="false">G10+G35</f>
        <v>2527006634.27797</v>
      </c>
      <c r="H36" s="58" t="n">
        <f aca="false">H10+H35</f>
        <v>3562845345.44284</v>
      </c>
      <c r="I36" s="58" t="n">
        <f aca="false">I10+I35</f>
        <v>2535678990.68051</v>
      </c>
      <c r="J36" s="58" t="n">
        <f aca="false">J10+J35</f>
        <v>2535678990.68051</v>
      </c>
      <c r="K36" s="58" t="n">
        <f aca="false">K10+K35</f>
        <v>2535678990.68051</v>
      </c>
      <c r="L36" s="58" t="n">
        <f aca="false">L10+L35</f>
        <v>2535678990.68051</v>
      </c>
      <c r="M36" s="58" t="n">
        <f aca="false">M10+M35</f>
        <v>2537225733.4609</v>
      </c>
      <c r="N36" s="58" t="n">
        <f aca="false">N10+N35</f>
        <v>3564392088.22324</v>
      </c>
      <c r="O36" s="58" t="n">
        <f aca="false">O10+O35</f>
        <v>2503233857.95076</v>
      </c>
      <c r="P36" s="58" t="n">
        <f aca="false">P10+P35</f>
        <v>2488559195.57344</v>
      </c>
      <c r="Q36" s="58" t="n">
        <f aca="false">Q10+Q35</f>
        <v>2489940988.35159</v>
      </c>
      <c r="R36" s="58" t="n">
        <f aca="false">R10+R35</f>
        <v>2518316242.92895</v>
      </c>
      <c r="S36" s="58" t="n">
        <f aca="false">S10+S35</f>
        <v>2532770170.26652</v>
      </c>
      <c r="T36" s="58" t="n">
        <f aca="false">T10+T35</f>
        <v>3568608881.43139</v>
      </c>
      <c r="U36" s="58" t="n">
        <f aca="false">U10+U35</f>
        <v>2541442526.66906</v>
      </c>
      <c r="V36" s="58" t="n">
        <f aca="false">V10+V35</f>
        <v>2541442526.66906</v>
      </c>
      <c r="W36" s="58" t="n">
        <f aca="false">W10+W35</f>
        <v>2541442526.66906</v>
      </c>
      <c r="X36" s="58" t="n">
        <f aca="false">X10+X35</f>
        <v>2541442526.66906</v>
      </c>
      <c r="Y36" s="58" t="n">
        <f aca="false">Y10+Y35</f>
        <v>2542989269.44945</v>
      </c>
      <c r="Z36" s="58" t="n">
        <f aca="false">Z10+Z35</f>
        <v>3570155624.21178</v>
      </c>
      <c r="AA36" s="58" t="n">
        <f aca="false">AA10+AA35</f>
        <v>2508997393.93931</v>
      </c>
      <c r="AB36" s="58" t="n">
        <f aca="false">AB10+AB35</f>
        <v>2493827566.24188</v>
      </c>
      <c r="AC36" s="58" t="n">
        <f aca="false">AC10+AC35</f>
        <v>2495209359.02003</v>
      </c>
      <c r="AD36" s="58" t="n">
        <f aca="false">AD10+AD35</f>
        <v>2523584613.59739</v>
      </c>
      <c r="AE36" s="58" t="n">
        <f aca="false">AE10+AE35</f>
        <v>2538038540.93496</v>
      </c>
      <c r="AF36" s="58" t="n">
        <f aca="false">AF10+AF35</f>
        <v>3573877252.09983</v>
      </c>
      <c r="AG36" s="58" t="n">
        <f aca="false">AG10+AG35</f>
        <v>2546710897.33749</v>
      </c>
      <c r="AH36" s="58" t="n">
        <f aca="false">AH10+AH35</f>
        <v>2546710897.33749</v>
      </c>
      <c r="AI36" s="58" t="n">
        <f aca="false">AI10+AI35</f>
        <v>2546710897.33749</v>
      </c>
      <c r="AJ36" s="58" t="n">
        <f aca="false">AJ10+AJ35</f>
        <v>2546710897.33749</v>
      </c>
      <c r="AK36" s="58" t="n">
        <f aca="false">AK10+AK35</f>
        <v>2548257640.11789</v>
      </c>
      <c r="AL36" s="58" t="n">
        <f aca="false">AL10+AL35</f>
        <v>3575423994.88022</v>
      </c>
      <c r="AM36" s="58" t="n">
        <f aca="false">AM10+AM35</f>
        <v>2514265764.60774</v>
      </c>
      <c r="AN36" s="58" t="n">
        <f aca="false">AN10+AN35</f>
        <v>2495473531.44948</v>
      </c>
      <c r="AO36" s="58" t="n">
        <f aca="false">AO10+AO35</f>
        <v>2496855324.22763</v>
      </c>
      <c r="AP36" s="58" t="n">
        <f aca="false">AP10+AP35</f>
        <v>2525230578.80499</v>
      </c>
      <c r="AQ36" s="58" t="n">
        <f aca="false">AQ10+AQ35</f>
        <v>2539684506.14255</v>
      </c>
      <c r="AR36" s="58" t="n">
        <f aca="false">AR10+AR35</f>
        <v>3575523217.30743</v>
      </c>
      <c r="AS36" s="58" t="n">
        <f aca="false">AS10+AS35</f>
        <v>2548356862.54509</v>
      </c>
      <c r="AT36" s="58" t="n">
        <f aca="false">AT10+AT35</f>
        <v>2548356862.54509</v>
      </c>
      <c r="AU36" s="58" t="n">
        <f aca="false">AU10+AU35</f>
        <v>2548356862.54509</v>
      </c>
      <c r="AV36" s="58" t="n">
        <f aca="false">AV10+AV35</f>
        <v>2548356862.54509</v>
      </c>
      <c r="AW36" s="58" t="n">
        <f aca="false">AW10+AW35</f>
        <v>2549903605.32549</v>
      </c>
      <c r="AX36" s="58" t="n">
        <f aca="false">AX10+AX35</f>
        <v>3577069960.08782</v>
      </c>
      <c r="AY36" s="58" t="n">
        <f aca="false">AY10+AY35</f>
        <v>2515911729.81534</v>
      </c>
      <c r="AZ36" s="58" t="n">
        <f aca="false">AZ10+AZ35</f>
        <v>2495473531.44948</v>
      </c>
      <c r="BA36" s="58" t="n">
        <f aca="false">BA10+BA35</f>
        <v>2496855324.22763</v>
      </c>
      <c r="BB36" s="58" t="n">
        <f aca="false">BB10+BB35</f>
        <v>2525230578.80499</v>
      </c>
      <c r="BC36" s="58" t="n">
        <f aca="false">BC10+BC35</f>
        <v>2539684506.14255</v>
      </c>
      <c r="BD36" s="58" t="n">
        <f aca="false">BD10+BD35</f>
        <v>3575523217.30743</v>
      </c>
      <c r="BE36" s="58" t="n">
        <f aca="false">BE10+BE35</f>
        <v>2548356862.54509</v>
      </c>
      <c r="BF36" s="58" t="n">
        <f aca="false">BF10+BF35</f>
        <v>2548356862.54509</v>
      </c>
      <c r="BG36" s="58" t="n">
        <f aca="false">BG10+BG35</f>
        <v>2548356862.54509</v>
      </c>
      <c r="BH36" s="58" t="n">
        <f aca="false">BH10+BH35</f>
        <v>2548356862.54509</v>
      </c>
      <c r="BI36" s="58" t="n">
        <f aca="false">BI10+BI35</f>
        <v>2549903605.32549</v>
      </c>
      <c r="BJ36" s="58" t="n">
        <f aca="false">BJ10+BJ35</f>
        <v>3577069960.08782</v>
      </c>
      <c r="BK36" s="58" t="n">
        <f aca="false">BK10+BK35</f>
        <v>2515911729.81534</v>
      </c>
      <c r="BL36" s="58" t="n">
        <f aca="false">BL10+BL35</f>
        <v>2495473531.44948</v>
      </c>
      <c r="BM36" s="58" t="n">
        <f aca="false">BM10+BM35</f>
        <v>2496855324.22763</v>
      </c>
      <c r="BN36" s="58" t="n">
        <f aca="false">BN10+BN35</f>
        <v>2525230578.80499</v>
      </c>
      <c r="BO36" s="58" t="n">
        <f aca="false">BO10+BO35</f>
        <v>2539684506.14255</v>
      </c>
      <c r="BP36" s="58" t="n">
        <f aca="false">BP10+BP35</f>
        <v>3575523217.30743</v>
      </c>
      <c r="BQ36" s="58" t="n">
        <f aca="false">BQ10+BQ35</f>
        <v>2548356862.54509</v>
      </c>
      <c r="BR36" s="58" t="n">
        <f aca="false">BR10+BR35</f>
        <v>2548356862.54509</v>
      </c>
      <c r="BS36" s="58" t="n">
        <f aca="false">BS10+BS35</f>
        <v>2548356862.54509</v>
      </c>
      <c r="BT36" s="58" t="n">
        <f aca="false">BT10+BT35</f>
        <v>2548356862.54509</v>
      </c>
      <c r="BU36" s="58" t="n">
        <f aca="false">BU10+BU35</f>
        <v>2549903605.32549</v>
      </c>
      <c r="BV36" s="58" t="n">
        <f aca="false">BV10+BV35</f>
        <v>3577069960.08782</v>
      </c>
      <c r="BW36" s="58" t="n">
        <f aca="false">BW10+BW35</f>
        <v>2515911729.81534</v>
      </c>
      <c r="BX36" s="58" t="n">
        <f aca="false">BX10+BX35</f>
        <v>2495473531.44948</v>
      </c>
      <c r="BY36" s="58" t="n">
        <f aca="false">BY10+BY35</f>
        <v>2496855324.22763</v>
      </c>
      <c r="BZ36" s="58" t="n">
        <f aca="false">BZ10+BZ35</f>
        <v>2525230578.80499</v>
      </c>
      <c r="CA36" s="58" t="n">
        <f aca="false">CA10+CA35</f>
        <v>2539684506.14255</v>
      </c>
      <c r="CB36" s="58" t="n">
        <f aca="false">CB10+CB35</f>
        <v>3575523217.30743</v>
      </c>
      <c r="CC36" s="58" t="n">
        <f aca="false">CC10+CC35</f>
        <v>2548356862.54509</v>
      </c>
      <c r="CD36" s="58" t="n">
        <f aca="false">CD10+CD35</f>
        <v>2548356862.54509</v>
      </c>
      <c r="CE36" s="58" t="n">
        <f aca="false">CE10+CE35</f>
        <v>2548356862.54509</v>
      </c>
      <c r="CF36" s="58" t="n">
        <f aca="false">CF10+CF35</f>
        <v>2548356862.54509</v>
      </c>
      <c r="CG36" s="58" t="n">
        <f aca="false">CG10+CG35</f>
        <v>2549903605.32549</v>
      </c>
      <c r="CH36" s="58" t="n">
        <f aca="false">CH10+CH35</f>
        <v>3577069960.08782</v>
      </c>
      <c r="CI36" s="58" t="n">
        <f aca="false">CI10+CI35</f>
        <v>2515911729.81534</v>
      </c>
      <c r="CJ36" s="58" t="n">
        <f aca="false">CJ10+CJ35</f>
        <v>2495473531.44948</v>
      </c>
      <c r="CK36" s="58" t="n">
        <f aca="false">CK10+CK35</f>
        <v>2496855324.22763</v>
      </c>
      <c r="CL36" s="58" t="n">
        <f aca="false">CL10+CL35</f>
        <v>2525230578.80499</v>
      </c>
      <c r="CM36" s="58" t="n">
        <f aca="false">CM10+CM35</f>
        <v>2539684506.14255</v>
      </c>
      <c r="CN36" s="58" t="n">
        <f aca="false">CN10+CN35</f>
        <v>3575523217.30743</v>
      </c>
      <c r="CO36" s="58" t="n">
        <f aca="false">CO10+CO35</f>
        <v>2548356862.54509</v>
      </c>
      <c r="CP36" s="58" t="n">
        <f aca="false">CP10+CP35</f>
        <v>2548356862.54509</v>
      </c>
      <c r="CQ36" s="58" t="n">
        <f aca="false">CQ10+CQ35</f>
        <v>2548356862.54509</v>
      </c>
      <c r="CR36" s="58" t="n">
        <f aca="false">CR10+CR35</f>
        <v>2548356862.54509</v>
      </c>
      <c r="CS36" s="58" t="n">
        <f aca="false">CS10+CS35</f>
        <v>2549903605.32549</v>
      </c>
      <c r="CT36" s="58" t="n">
        <f aca="false">CT10+CT35</f>
        <v>3577069960.08782</v>
      </c>
    </row>
    <row r="38" customFormat="false" ht="15" hidden="false" customHeight="true" outlineLevel="0" collapsed="false">
      <c r="B38" s="56" t="s">
        <v>614</v>
      </c>
      <c r="C38" s="64"/>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64"/>
      <c r="CJ38" s="64"/>
      <c r="CK38" s="64"/>
      <c r="CL38" s="64"/>
      <c r="CM38" s="64"/>
      <c r="CN38" s="64"/>
      <c r="CO38" s="64"/>
      <c r="CP38" s="64"/>
      <c r="CQ38" s="64"/>
      <c r="CR38" s="64"/>
      <c r="CS38" s="64"/>
      <c r="CT38" s="64"/>
    </row>
    <row r="39" customFormat="false" ht="15" hidden="false" customHeight="true" outlineLevel="0" collapsed="false">
      <c r="B39" s="19" t="s">
        <v>615</v>
      </c>
      <c r="C39" s="57" t="n">
        <f aca="false">C8*Supuestos!$C$94/12</f>
        <v>3750000</v>
      </c>
      <c r="D39" s="57" t="n">
        <f aca="false">D8*Supuestos!$C$94/12</f>
        <v>12603462.6636483</v>
      </c>
      <c r="E39" s="57" t="n">
        <f aca="false">E8*Supuestos!$C$94/12</f>
        <v>13910269.318813</v>
      </c>
      <c r="F39" s="57" t="n">
        <f aca="false">F8*Supuestos!$C$94/12</f>
        <v>19476757.5219066</v>
      </c>
      <c r="G39" s="57" t="n">
        <f aca="false">G8*Supuestos!$C$94/12</f>
        <v>23034212.7027167</v>
      </c>
      <c r="H39" s="57" t="n">
        <f aca="false">H8*Supuestos!$C$94/12</f>
        <v>21825587.6599249</v>
      </c>
      <c r="I39" s="57" t="n">
        <f aca="false">I8*Supuestos!$C$94/12</f>
        <v>20974843.0400781</v>
      </c>
      <c r="J39" s="57" t="n">
        <f aca="false">J8*Supuestos!$C$94/12</f>
        <v>23010114.3675232</v>
      </c>
      <c r="K39" s="57" t="n">
        <f aca="false">K8*Supuestos!$C$94/12</f>
        <v>21487615.5870518</v>
      </c>
      <c r="L39" s="57" t="n">
        <f aca="false">L8*Supuestos!$C$94/12</f>
        <v>22653799.9653751</v>
      </c>
      <c r="M39" s="57" t="n">
        <f aca="false">M8*Supuestos!$C$94/12</f>
        <v>24266745.8912801</v>
      </c>
      <c r="N39" s="57" t="n">
        <f aca="false">N8*Supuestos!$C$94/12</f>
        <v>22288537.5256278</v>
      </c>
      <c r="O39" s="57" t="n">
        <f aca="false">O8*Supuestos!$C$94/12</f>
        <v>21884636.6721828</v>
      </c>
      <c r="P39" s="57" t="n">
        <f aca="false">P8*Supuestos!$C$94/12</f>
        <v>28215187.7810422</v>
      </c>
      <c r="Q39" s="57" t="n">
        <f aca="false">Q8*Supuestos!$C$94/12</f>
        <v>29259677.2639015</v>
      </c>
      <c r="R39" s="57" t="n">
        <f aca="false">R8*Supuestos!$C$94/12</f>
        <v>34977105.1210101</v>
      </c>
      <c r="S39" s="57" t="n">
        <f aca="false">S8*Supuestos!$C$94/12</f>
        <v>38747942.8932871</v>
      </c>
      <c r="T39" s="57" t="n">
        <f aca="false">T8*Supuestos!$C$94/12</f>
        <v>37778430.6802676</v>
      </c>
      <c r="U39" s="57" t="n">
        <f aca="false">U8*Supuestos!$C$94/12</f>
        <v>37196681.6831712</v>
      </c>
      <c r="V39" s="57" t="n">
        <f aca="false">V8*Supuestos!$C$94/12</f>
        <v>39521620.720253</v>
      </c>
      <c r="W39" s="57" t="n">
        <f aca="false">W8*Supuestos!$C$94/12</f>
        <v>38282347.6785631</v>
      </c>
      <c r="X39" s="57" t="n">
        <f aca="false">X8*Supuestos!$C$94/12</f>
        <v>39723045.9790862</v>
      </c>
      <c r="Y39" s="57" t="n">
        <f aca="false">Y8*Supuestos!$C$94/12</f>
        <v>41623167.9923245</v>
      </c>
      <c r="Z39" s="57" t="n">
        <f aca="false">Z8*Supuestos!$C$94/12</f>
        <v>43046684.4066304</v>
      </c>
      <c r="AA39" s="57" t="n">
        <f aca="false">AA8*Supuestos!$C$94/12</f>
        <v>42962321.7508014</v>
      </c>
      <c r="AB39" s="57" t="n">
        <f aca="false">AB8*Supuestos!$C$94/12</f>
        <v>49649380.6153975</v>
      </c>
      <c r="AC39" s="57" t="n">
        <f aca="false">AC8*Supuestos!$C$94/12</f>
        <v>54108148.4409042</v>
      </c>
      <c r="AD39" s="57" t="n">
        <f aca="false">AD8*Supuestos!$C$94/12</f>
        <v>60131190.2359247</v>
      </c>
      <c r="AE39" s="57" t="n">
        <f aca="false">AE8*Supuestos!$C$94/12</f>
        <v>64199942.6682003</v>
      </c>
      <c r="AF39" s="57" t="n">
        <f aca="false">AF8*Supuestos!$C$94/12</f>
        <v>66645701.6246475</v>
      </c>
      <c r="AG39" s="57" t="n">
        <f aca="false">AG8*Supuestos!$C$94/12</f>
        <v>66364961.2896288</v>
      </c>
      <c r="AH39" s="57" t="n">
        <f aca="false">AH8*Supuestos!$C$94/12</f>
        <v>68999020.3206426</v>
      </c>
      <c r="AI39" s="57" t="n">
        <f aca="false">AI8*Supuestos!$C$94/12</f>
        <v>71186217.8088536</v>
      </c>
      <c r="AJ39" s="57" t="n">
        <f aca="false">AJ8*Supuestos!$C$94/12</f>
        <v>72923373.7247218</v>
      </c>
      <c r="AK39" s="57" t="n">
        <f aca="false">AK8*Supuestos!$C$94/12</f>
        <v>75128103.5576632</v>
      </c>
      <c r="AL39" s="57" t="n">
        <f aca="false">AL8*Supuestos!$C$94/12</f>
        <v>76848595.9000173</v>
      </c>
      <c r="AM39" s="57" t="n">
        <f aca="false">AM8*Supuestos!$C$94/12</f>
        <v>77090876.7017358</v>
      </c>
      <c r="AN39" s="57" t="n">
        <f aca="false">AN8*Supuestos!$C$94/12</f>
        <v>83952104.677251</v>
      </c>
      <c r="AO39" s="57" t="n">
        <f aca="false">AO8*Supuestos!$C$94/12</f>
        <v>88603713.3732462</v>
      </c>
      <c r="AP39" s="57" t="n">
        <f aca="false">AP8*Supuestos!$C$94/12</f>
        <v>94830157.3289909</v>
      </c>
      <c r="AQ39" s="57" t="n">
        <f aca="false">AQ8*Supuestos!$C$94/12</f>
        <v>99096083.6446909</v>
      </c>
      <c r="AR39" s="57" t="n">
        <f aca="false">AR8*Supuestos!$C$94/12</f>
        <v>101732848.680614</v>
      </c>
      <c r="AS39" s="57" t="n">
        <f aca="false">AS8*Supuestos!$C$94/12</f>
        <v>101649600.860705</v>
      </c>
      <c r="AT39" s="57" t="n">
        <f aca="false">AT8*Supuestos!$C$94/12</f>
        <v>104487613.841843</v>
      </c>
      <c r="AU39" s="57" t="n">
        <f aca="false">AU8*Supuestos!$C$94/12</f>
        <v>106872590.349103</v>
      </c>
      <c r="AV39" s="57" t="n">
        <f aca="false">AV8*Supuestos!$C$94/12</f>
        <v>108801384.427551</v>
      </c>
      <c r="AW39" s="57" t="n">
        <f aca="false">AW8*Supuestos!$C$94/12</f>
        <v>111204252.607041</v>
      </c>
      <c r="AX39" s="57" t="n">
        <f aca="false">AX8*Supuestos!$C$94/12</f>
        <v>113116725.332323</v>
      </c>
      <c r="AY39" s="57" t="n">
        <f aca="false">AY8*Supuestos!$C$94/12</f>
        <v>113575751.565234</v>
      </c>
      <c r="AZ39" s="57" t="n">
        <f aca="false">AZ8*Supuestos!$C$94/12</f>
        <v>120701638.282302</v>
      </c>
      <c r="BA39" s="57" t="n">
        <f aca="false">BA8*Supuestos!$C$94/12</f>
        <v>125590636.992449</v>
      </c>
      <c r="BB39" s="57" t="n">
        <f aca="false">BB8*Supuestos!$C$94/12</f>
        <v>132065314.389962</v>
      </c>
      <c r="BC39" s="57" t="n">
        <f aca="false">BC8*Supuestos!$C$94/12</f>
        <v>136573203.034551</v>
      </c>
      <c r="BD39" s="57" t="n">
        <f aca="false">BD8*Supuestos!$C$94/12</f>
        <v>139445714.111772</v>
      </c>
      <c r="BE39" s="57" t="n">
        <f aca="false">BE8*Supuestos!$C$94/12</f>
        <v>139604827.777066</v>
      </c>
      <c r="BF39" s="57" t="n">
        <f aca="false">BF8*Supuestos!$C$94/12</f>
        <v>142691792.641572</v>
      </c>
      <c r="BG39" s="57" t="n">
        <f aca="false">BG8*Supuestos!$C$94/12</f>
        <v>145319494.756929</v>
      </c>
      <c r="BH39" s="57" t="n">
        <f aca="false">BH8*Supuestos!$C$94/12</f>
        <v>147484820.911402</v>
      </c>
      <c r="BI39" s="57" t="n">
        <f aca="false">BI8*Supuestos!$C$94/12</f>
        <v>150130848.325579</v>
      </c>
      <c r="BJ39" s="57" t="n">
        <f aca="false">BJ8*Supuestos!$C$94/12</f>
        <v>152280269.992239</v>
      </c>
      <c r="BK39" s="57" t="n">
        <f aca="false">BK8*Supuestos!$C$94/12</f>
        <v>153001193.729891</v>
      </c>
      <c r="BL39" s="57" t="n">
        <f aca="false">BL8*Supuestos!$C$94/12</f>
        <v>160441294.988659</v>
      </c>
      <c r="BM39" s="57" t="n">
        <f aca="false">BM8*Supuestos!$C$94/12</f>
        <v>165578098.19799</v>
      </c>
      <c r="BN39" s="57" t="n">
        <f aca="false">BN8*Supuestos!$C$94/12</f>
        <v>172311821.016323</v>
      </c>
      <c r="BO39" s="57" t="n">
        <f aca="false">BO8*Supuestos!$C$94/12</f>
        <v>177072324.271374</v>
      </c>
      <c r="BP39" s="57" t="n">
        <f aca="false">BP8*Supuestos!$C$94/12</f>
        <v>180191072.212262</v>
      </c>
      <c r="BQ39" s="57" t="n">
        <f aca="false">BQ8*Supuestos!$C$94/12</f>
        <v>180603217.100328</v>
      </c>
      <c r="BR39" s="57" t="n">
        <f aca="false">BR8*Supuestos!$C$94/12</f>
        <v>183949983.546015</v>
      </c>
      <c r="BS39" s="57" t="n">
        <f aca="false">BS8*Supuestos!$C$94/12</f>
        <v>186831100.202197</v>
      </c>
      <c r="BT39" s="57" t="n">
        <f aca="false">BT8*Supuestos!$C$94/12</f>
        <v>189243485.387244</v>
      </c>
      <c r="BU39" s="57" t="n">
        <f aca="false">BU8*Supuestos!$C$94/12</f>
        <v>192143377.661204</v>
      </c>
      <c r="BV39" s="57" t="n">
        <f aca="false">BV8*Supuestos!$C$94/12</f>
        <v>194540292.423837</v>
      </c>
      <c r="BW39" s="57" t="n">
        <f aca="false">BW8*Supuestos!$C$94/12</f>
        <v>195534056.79666</v>
      </c>
      <c r="BX39" s="57" t="n">
        <f aca="false">BX8*Supuestos!$C$94/12</f>
        <v>203300346.267482</v>
      </c>
      <c r="BY39" s="57" t="n">
        <f aca="false">BY8*Supuestos!$C$94/12</f>
        <v>208695546.826204</v>
      </c>
      <c r="BZ39" s="57" t="n">
        <f aca="false">BZ8*Supuestos!$C$94/12</f>
        <v>215699308.366522</v>
      </c>
      <c r="CA39" s="57" t="n">
        <f aca="false">CA8*Supuestos!$C$94/12</f>
        <v>220723257.230908</v>
      </c>
      <c r="CB39" s="57" t="n">
        <f aca="false">CB8*Supuestos!$C$94/12</f>
        <v>224098909.196338</v>
      </c>
      <c r="CC39" s="57" t="n">
        <f aca="false">CC8*Supuestos!$C$94/12</f>
        <v>224774933.761076</v>
      </c>
      <c r="CD39" s="57" t="n">
        <f aca="false">CD8*Supuestos!$C$94/12</f>
        <v>228392532.616231</v>
      </c>
      <c r="CE39" s="57" t="n">
        <f aca="false">CE8*Supuestos!$C$94/12</f>
        <v>231537931.665243</v>
      </c>
      <c r="CF39" s="57" t="n">
        <f aca="false">CF8*Supuestos!$C$94/12</f>
        <v>234208079.572948</v>
      </c>
      <c r="CG39" s="57" t="n">
        <f aca="false">CG8*Supuestos!$C$94/12</f>
        <v>237372721.545932</v>
      </c>
      <c r="CH39" s="57" t="n">
        <f aca="false">CH8*Supuestos!$C$94/12</f>
        <v>240027850.59254</v>
      </c>
      <c r="CI39" s="57" t="n">
        <f aca="false">CI8*Supuestos!$C$94/12</f>
        <v>241305585.549403</v>
      </c>
      <c r="CJ39" s="57" t="n">
        <f aca="false">CJ8*Supuestos!$C$94/12</f>
        <v>249410243.673028</v>
      </c>
      <c r="CK39" s="57" t="n">
        <f aca="false">CK8*Supuestos!$C$94/12</f>
        <v>255074616.244791</v>
      </c>
      <c r="CL39" s="57" t="n">
        <f aca="false">CL8*Supuestos!$C$94/12</f>
        <v>262359595.534782</v>
      </c>
      <c r="CM39" s="57" t="n">
        <f aca="false">CM8*Supuestos!$C$94/12</f>
        <v>267658004.464134</v>
      </c>
      <c r="CN39" s="57" t="n">
        <f aca="false">CN8*Supuestos!$C$94/12</f>
        <v>271301408.828591</v>
      </c>
      <c r="CO39" s="57" t="n">
        <f aca="false">CO8*Supuestos!$C$94/12</f>
        <v>272252345.286</v>
      </c>
      <c r="CP39" s="57" t="n">
        <f aca="false">CP8*Supuestos!$C$94/12</f>
        <v>276151993.676634</v>
      </c>
      <c r="CQ39" s="57" t="n">
        <f aca="false">CQ8*Supuestos!$C$94/12</f>
        <v>279572727.019214</v>
      </c>
      <c r="CR39" s="57" t="n">
        <f aca="false">CR8*Supuestos!$C$94/12</f>
        <v>282511523.157892</v>
      </c>
      <c r="CS39" s="57" t="n">
        <f aca="false">CS8*Supuestos!$C$94/12</f>
        <v>285951984.039431</v>
      </c>
      <c r="CT39" s="57" t="n">
        <f aca="false">CT8*Supuestos!$C$94/12</f>
        <v>288876230.687737</v>
      </c>
    </row>
    <row r="40" customFormat="false" ht="15" hidden="false" customHeight="true" outlineLevel="0" collapsed="false">
      <c r="B40" s="19" t="s">
        <v>616</v>
      </c>
      <c r="C40" s="57" t="n">
        <f aca="false">'Gastos objeto'!C21*Supuestos!$C$95</f>
        <v>0</v>
      </c>
      <c r="D40" s="57" t="n">
        <f aca="false">'Gastos objeto'!D21*Supuestos!$C$95</f>
        <v>0</v>
      </c>
      <c r="E40" s="57" t="n">
        <f aca="false">'Gastos objeto'!E21*Supuestos!$C$95</f>
        <v>0</v>
      </c>
      <c r="F40" s="57" t="n">
        <f aca="false">'Gastos objeto'!F21*Supuestos!$C$95</f>
        <v>0</v>
      </c>
      <c r="G40" s="57" t="n">
        <f aca="false">'Gastos objeto'!G21*Supuestos!$C$95</f>
        <v>0</v>
      </c>
      <c r="H40" s="57" t="n">
        <f aca="false">'Gastos objeto'!H21*Supuestos!$C$95</f>
        <v>0</v>
      </c>
      <c r="I40" s="57" t="n">
        <f aca="false">'Gastos objeto'!I21*Supuestos!$C$95</f>
        <v>0</v>
      </c>
      <c r="J40" s="57" t="n">
        <f aca="false">'Gastos objeto'!J21*Supuestos!$C$95</f>
        <v>0</v>
      </c>
      <c r="K40" s="57" t="n">
        <f aca="false">'Gastos objeto'!K21*Supuestos!$C$95</f>
        <v>0</v>
      </c>
      <c r="L40" s="57" t="n">
        <f aca="false">'Gastos objeto'!L21*Supuestos!$C$95</f>
        <v>0</v>
      </c>
      <c r="M40" s="57" t="n">
        <f aca="false">'Gastos objeto'!M21*Supuestos!$C$95</f>
        <v>0</v>
      </c>
      <c r="N40" s="57" t="n">
        <f aca="false">'Gastos objeto'!N21*Supuestos!$C$95</f>
        <v>0</v>
      </c>
      <c r="O40" s="57" t="n">
        <f aca="false">'Gastos objeto'!O21*Supuestos!$C$95</f>
        <v>0</v>
      </c>
      <c r="P40" s="57" t="n">
        <f aca="false">'Gastos objeto'!P21*Supuestos!$C$95</f>
        <v>0</v>
      </c>
      <c r="Q40" s="57" t="n">
        <f aca="false">'Gastos objeto'!Q21*Supuestos!$C$95</f>
        <v>0</v>
      </c>
      <c r="R40" s="57" t="n">
        <f aca="false">'Gastos objeto'!R21*Supuestos!$C$95</f>
        <v>0</v>
      </c>
      <c r="S40" s="57" t="n">
        <f aca="false">'Gastos objeto'!S21*Supuestos!$C$95</f>
        <v>0</v>
      </c>
      <c r="T40" s="57" t="n">
        <f aca="false">'Gastos objeto'!T21*Supuestos!$C$95</f>
        <v>0</v>
      </c>
      <c r="U40" s="57" t="n">
        <f aca="false">'Gastos objeto'!U21*Supuestos!$C$95</f>
        <v>0</v>
      </c>
      <c r="V40" s="57" t="n">
        <f aca="false">'Gastos objeto'!V21*Supuestos!$C$95</f>
        <v>0</v>
      </c>
      <c r="W40" s="57" t="n">
        <f aca="false">'Gastos objeto'!W21*Supuestos!$C$95</f>
        <v>0</v>
      </c>
      <c r="X40" s="57" t="n">
        <f aca="false">'Gastos objeto'!X21*Supuestos!$C$95</f>
        <v>0</v>
      </c>
      <c r="Y40" s="57" t="n">
        <f aca="false">'Gastos objeto'!Y21*Supuestos!$C$95</f>
        <v>0</v>
      </c>
      <c r="Z40" s="57" t="n">
        <f aca="false">'Gastos objeto'!Z21*Supuestos!$C$95</f>
        <v>0</v>
      </c>
      <c r="AA40" s="57" t="n">
        <f aca="false">'Gastos objeto'!AA21*Supuestos!$C$95</f>
        <v>0</v>
      </c>
      <c r="AB40" s="57" t="n">
        <f aca="false">'Gastos objeto'!AB21*Supuestos!$C$95</f>
        <v>0</v>
      </c>
      <c r="AC40" s="57" t="n">
        <f aca="false">'Gastos objeto'!AC21*Supuestos!$C$95</f>
        <v>0</v>
      </c>
      <c r="AD40" s="57" t="n">
        <f aca="false">'Gastos objeto'!AD21*Supuestos!$C$95</f>
        <v>0</v>
      </c>
      <c r="AE40" s="57" t="n">
        <f aca="false">'Gastos objeto'!AE21*Supuestos!$C$95</f>
        <v>0</v>
      </c>
      <c r="AF40" s="57" t="n">
        <f aca="false">'Gastos objeto'!AF21*Supuestos!$C$95</f>
        <v>0</v>
      </c>
      <c r="AG40" s="57" t="n">
        <f aca="false">'Gastos objeto'!AG21*Supuestos!$C$95</f>
        <v>0</v>
      </c>
      <c r="AH40" s="57" t="n">
        <f aca="false">'Gastos objeto'!AH21*Supuestos!$C$95</f>
        <v>0</v>
      </c>
      <c r="AI40" s="57" t="n">
        <f aca="false">'Gastos objeto'!AI21*Supuestos!$C$95</f>
        <v>0</v>
      </c>
      <c r="AJ40" s="57" t="n">
        <f aca="false">'Gastos objeto'!AJ21*Supuestos!$C$95</f>
        <v>0</v>
      </c>
      <c r="AK40" s="57" t="n">
        <f aca="false">'Gastos objeto'!AK21*Supuestos!$C$95</f>
        <v>0</v>
      </c>
      <c r="AL40" s="57" t="n">
        <f aca="false">'Gastos objeto'!AL21*Supuestos!$C$95</f>
        <v>0</v>
      </c>
      <c r="AM40" s="57" t="n">
        <f aca="false">'Gastos objeto'!AM21*Supuestos!$C$95</f>
        <v>0</v>
      </c>
      <c r="AN40" s="57" t="n">
        <f aca="false">'Gastos objeto'!AN21*Supuestos!$C$95</f>
        <v>0</v>
      </c>
      <c r="AO40" s="57" t="n">
        <f aca="false">'Gastos objeto'!AO21*Supuestos!$C$95</f>
        <v>0</v>
      </c>
      <c r="AP40" s="57" t="n">
        <f aca="false">'Gastos objeto'!AP21*Supuestos!$C$95</f>
        <v>0</v>
      </c>
      <c r="AQ40" s="57" t="n">
        <f aca="false">'Gastos objeto'!AQ21*Supuestos!$C$95</f>
        <v>0</v>
      </c>
      <c r="AR40" s="57" t="n">
        <f aca="false">'Gastos objeto'!AR21*Supuestos!$C$95</f>
        <v>0</v>
      </c>
      <c r="AS40" s="57" t="n">
        <f aca="false">'Gastos objeto'!AS21*Supuestos!$C$95</f>
        <v>0</v>
      </c>
      <c r="AT40" s="57" t="n">
        <f aca="false">'Gastos objeto'!AT21*Supuestos!$C$95</f>
        <v>0</v>
      </c>
      <c r="AU40" s="57" t="n">
        <f aca="false">'Gastos objeto'!AU21*Supuestos!$C$95</f>
        <v>0</v>
      </c>
      <c r="AV40" s="57" t="n">
        <f aca="false">'Gastos objeto'!AV21*Supuestos!$C$95</f>
        <v>0</v>
      </c>
      <c r="AW40" s="57" t="n">
        <f aca="false">'Gastos objeto'!AW21*Supuestos!$C$95</f>
        <v>0</v>
      </c>
      <c r="AX40" s="57" t="n">
        <f aca="false">'Gastos objeto'!AX21*Supuestos!$C$95</f>
        <v>0</v>
      </c>
      <c r="AY40" s="57" t="n">
        <f aca="false">'Gastos objeto'!AY21*Supuestos!$C$95</f>
        <v>0</v>
      </c>
      <c r="AZ40" s="57" t="n">
        <f aca="false">'Gastos objeto'!AZ21*Supuestos!$C$95</f>
        <v>0</v>
      </c>
      <c r="BA40" s="57" t="n">
        <f aca="false">'Gastos objeto'!BA21*Supuestos!$C$95</f>
        <v>0</v>
      </c>
      <c r="BB40" s="57" t="n">
        <f aca="false">'Gastos objeto'!BB21*Supuestos!$C$95</f>
        <v>0</v>
      </c>
      <c r="BC40" s="57" t="n">
        <f aca="false">'Gastos objeto'!BC21*Supuestos!$C$95</f>
        <v>0</v>
      </c>
      <c r="BD40" s="57" t="n">
        <f aca="false">'Gastos objeto'!BD21*Supuestos!$C$95</f>
        <v>0</v>
      </c>
      <c r="BE40" s="57" t="n">
        <f aca="false">'Gastos objeto'!BE21*Supuestos!$C$95</f>
        <v>0</v>
      </c>
      <c r="BF40" s="57" t="n">
        <f aca="false">'Gastos objeto'!BF21*Supuestos!$C$95</f>
        <v>0</v>
      </c>
      <c r="BG40" s="57" t="n">
        <f aca="false">'Gastos objeto'!BG21*Supuestos!$C$95</f>
        <v>0</v>
      </c>
      <c r="BH40" s="57" t="n">
        <f aca="false">'Gastos objeto'!BH21*Supuestos!$C$95</f>
        <v>0</v>
      </c>
      <c r="BI40" s="57" t="n">
        <f aca="false">'Gastos objeto'!BI21*Supuestos!$C$95</f>
        <v>0</v>
      </c>
      <c r="BJ40" s="57" t="n">
        <f aca="false">'Gastos objeto'!BJ21*Supuestos!$C$95</f>
        <v>0</v>
      </c>
      <c r="BK40" s="57" t="n">
        <f aca="false">'Gastos objeto'!BK21*Supuestos!$C$95</f>
        <v>0</v>
      </c>
      <c r="BL40" s="57" t="n">
        <f aca="false">'Gastos objeto'!BL21*Supuestos!$C$95</f>
        <v>0</v>
      </c>
      <c r="BM40" s="57" t="n">
        <f aca="false">'Gastos objeto'!BM21*Supuestos!$C$95</f>
        <v>0</v>
      </c>
      <c r="BN40" s="57" t="n">
        <f aca="false">'Gastos objeto'!BN21*Supuestos!$C$95</f>
        <v>0</v>
      </c>
      <c r="BO40" s="57" t="n">
        <f aca="false">'Gastos objeto'!BO21*Supuestos!$C$95</f>
        <v>0</v>
      </c>
      <c r="BP40" s="57" t="n">
        <f aca="false">'Gastos objeto'!BP21*Supuestos!$C$95</f>
        <v>0</v>
      </c>
      <c r="BQ40" s="57" t="n">
        <f aca="false">'Gastos objeto'!BQ21*Supuestos!$C$95</f>
        <v>0</v>
      </c>
      <c r="BR40" s="57" t="n">
        <f aca="false">'Gastos objeto'!BR21*Supuestos!$C$95</f>
        <v>0</v>
      </c>
      <c r="BS40" s="57" t="n">
        <f aca="false">'Gastos objeto'!BS21*Supuestos!$C$95</f>
        <v>0</v>
      </c>
      <c r="BT40" s="57" t="n">
        <f aca="false">'Gastos objeto'!BT21*Supuestos!$C$95</f>
        <v>0</v>
      </c>
      <c r="BU40" s="57" t="n">
        <f aca="false">'Gastos objeto'!BU21*Supuestos!$C$95</f>
        <v>0</v>
      </c>
      <c r="BV40" s="57" t="n">
        <f aca="false">'Gastos objeto'!BV21*Supuestos!$C$95</f>
        <v>0</v>
      </c>
      <c r="BW40" s="57" t="n">
        <f aca="false">'Gastos objeto'!BW21*Supuestos!$C$95</f>
        <v>0</v>
      </c>
      <c r="BX40" s="57" t="n">
        <f aca="false">'Gastos objeto'!BX21*Supuestos!$C$95</f>
        <v>0</v>
      </c>
      <c r="BY40" s="57" t="n">
        <f aca="false">'Gastos objeto'!BY21*Supuestos!$C$95</f>
        <v>0</v>
      </c>
      <c r="BZ40" s="57" t="n">
        <f aca="false">'Gastos objeto'!BZ21*Supuestos!$C$95</f>
        <v>0</v>
      </c>
      <c r="CA40" s="57" t="n">
        <f aca="false">'Gastos objeto'!CA21*Supuestos!$C$95</f>
        <v>0</v>
      </c>
      <c r="CB40" s="57" t="n">
        <f aca="false">'Gastos objeto'!CB21*Supuestos!$C$95</f>
        <v>0</v>
      </c>
      <c r="CC40" s="57" t="n">
        <f aca="false">'Gastos objeto'!CC21*Supuestos!$C$95</f>
        <v>0</v>
      </c>
      <c r="CD40" s="57" t="n">
        <f aca="false">'Gastos objeto'!CD21*Supuestos!$C$95</f>
        <v>0</v>
      </c>
      <c r="CE40" s="57" t="n">
        <f aca="false">'Gastos objeto'!CE21*Supuestos!$C$95</f>
        <v>0</v>
      </c>
      <c r="CF40" s="57" t="n">
        <f aca="false">'Gastos objeto'!CF21*Supuestos!$C$95</f>
        <v>0</v>
      </c>
      <c r="CG40" s="57" t="n">
        <f aca="false">'Gastos objeto'!CG21*Supuestos!$C$95</f>
        <v>0</v>
      </c>
      <c r="CH40" s="57" t="n">
        <f aca="false">'Gastos objeto'!CH21*Supuestos!$C$95</f>
        <v>0</v>
      </c>
      <c r="CI40" s="57" t="n">
        <f aca="false">'Gastos objeto'!CI21*Supuestos!$C$95</f>
        <v>0</v>
      </c>
      <c r="CJ40" s="57" t="n">
        <f aca="false">'Gastos objeto'!CJ21*Supuestos!$C$95</f>
        <v>0</v>
      </c>
      <c r="CK40" s="57" t="n">
        <f aca="false">'Gastos objeto'!CK21*Supuestos!$C$95</f>
        <v>0</v>
      </c>
      <c r="CL40" s="57" t="n">
        <f aca="false">'Gastos objeto'!CL21*Supuestos!$C$95</f>
        <v>0</v>
      </c>
      <c r="CM40" s="57" t="n">
        <f aca="false">'Gastos objeto'!CM21*Supuestos!$C$95</f>
        <v>0</v>
      </c>
      <c r="CN40" s="57" t="n">
        <f aca="false">'Gastos objeto'!CN21*Supuestos!$C$95</f>
        <v>0</v>
      </c>
      <c r="CO40" s="57" t="n">
        <f aca="false">'Gastos objeto'!CO21*Supuestos!$C$95</f>
        <v>0</v>
      </c>
      <c r="CP40" s="57" t="n">
        <f aca="false">'Gastos objeto'!CP21*Supuestos!$C$95</f>
        <v>0</v>
      </c>
      <c r="CQ40" s="57" t="n">
        <f aca="false">'Gastos objeto'!CQ21*Supuestos!$C$95</f>
        <v>0</v>
      </c>
      <c r="CR40" s="57" t="n">
        <f aca="false">'Gastos objeto'!CR21*Supuestos!$C$95</f>
        <v>0</v>
      </c>
      <c r="CS40" s="57" t="n">
        <f aca="false">'Gastos objeto'!CS21*Supuestos!$C$95</f>
        <v>0</v>
      </c>
      <c r="CT40" s="57" t="n">
        <f aca="false">'Gastos objeto'!CT21*Supuestos!$C$95</f>
        <v>0</v>
      </c>
    </row>
    <row r="41" customFormat="false" ht="15" hidden="false" customHeight="true" outlineLevel="0" collapsed="false">
      <c r="B41" s="19" t="s">
        <v>617</v>
      </c>
      <c r="C41" s="57" t="n">
        <f aca="false">0</f>
        <v>0</v>
      </c>
      <c r="D41" s="57" t="n">
        <f aca="false">0</f>
        <v>0</v>
      </c>
      <c r="E41" s="57" t="n">
        <f aca="false">IF(Supuestos!$C$96&lt;=2,C40,0)</f>
        <v>0</v>
      </c>
      <c r="F41" s="57" t="n">
        <f aca="false">IF(Supuestos!$C$96&lt;=2,D40,0)</f>
        <v>0</v>
      </c>
      <c r="G41" s="57" t="n">
        <f aca="false">IF(Supuestos!$C$96&lt;=2,E40,0)</f>
        <v>0</v>
      </c>
      <c r="H41" s="57" t="n">
        <f aca="false">IF(Supuestos!$C$96&lt;=2,F40,0)</f>
        <v>0</v>
      </c>
      <c r="I41" s="57" t="n">
        <f aca="false">IF(Supuestos!$C$96&lt;=2,G40,0)</f>
        <v>0</v>
      </c>
      <c r="J41" s="57" t="n">
        <f aca="false">IF(Supuestos!$C$96&lt;=2,H40,0)</f>
        <v>0</v>
      </c>
      <c r="K41" s="57" t="n">
        <f aca="false">IF(Supuestos!$C$96&lt;=2,I40,0)</f>
        <v>0</v>
      </c>
      <c r="L41" s="57" t="n">
        <f aca="false">IF(Supuestos!$C$96&lt;=2,J40,0)</f>
        <v>0</v>
      </c>
      <c r="M41" s="57" t="n">
        <f aca="false">IF(Supuestos!$C$96&lt;=2,K40,0)</f>
        <v>0</v>
      </c>
      <c r="N41" s="57" t="n">
        <f aca="false">IF(Supuestos!$C$96&lt;=2,L40,0)</f>
        <v>0</v>
      </c>
      <c r="O41" s="57" t="n">
        <f aca="false">IF(Supuestos!$C$96&lt;=2,M40,0)</f>
        <v>0</v>
      </c>
      <c r="P41" s="57" t="n">
        <f aca="false">IF(Supuestos!$C$96&lt;=2,N40,0)</f>
        <v>0</v>
      </c>
      <c r="Q41" s="57" t="n">
        <f aca="false">IF(Supuestos!$C$96&lt;=2,O40,0)</f>
        <v>0</v>
      </c>
      <c r="R41" s="57" t="n">
        <f aca="false">IF(Supuestos!$C$96&lt;=2,P40,0)</f>
        <v>0</v>
      </c>
      <c r="S41" s="57" t="n">
        <f aca="false">IF(Supuestos!$C$96&lt;=2,Q40,0)</f>
        <v>0</v>
      </c>
      <c r="T41" s="57" t="n">
        <f aca="false">IF(Supuestos!$C$96&lt;=2,R40,0)</f>
        <v>0</v>
      </c>
      <c r="U41" s="57" t="n">
        <f aca="false">IF(Supuestos!$C$96&lt;=2,S40,0)</f>
        <v>0</v>
      </c>
      <c r="V41" s="57" t="n">
        <f aca="false">IF(Supuestos!$C$96&lt;=2,T40,0)</f>
        <v>0</v>
      </c>
      <c r="W41" s="57" t="n">
        <f aca="false">IF(Supuestos!$C$96&lt;=2,U40,0)</f>
        <v>0</v>
      </c>
      <c r="X41" s="57" t="n">
        <f aca="false">IF(Supuestos!$C$96&lt;=2,V40,0)</f>
        <v>0</v>
      </c>
      <c r="Y41" s="57" t="n">
        <f aca="false">IF(Supuestos!$C$96&lt;=2,W40,0)</f>
        <v>0</v>
      </c>
      <c r="Z41" s="57" t="n">
        <f aca="false">IF(Supuestos!$C$96&lt;=2,X40,0)</f>
        <v>0</v>
      </c>
      <c r="AA41" s="57" t="n">
        <f aca="false">IF(Supuestos!$C$96&lt;=2,Y40,0)</f>
        <v>0</v>
      </c>
      <c r="AB41" s="57" t="n">
        <f aca="false">IF(Supuestos!$C$96&lt;=2,Z40,0)</f>
        <v>0</v>
      </c>
      <c r="AC41" s="57" t="n">
        <f aca="false">IF(Supuestos!$C$96&lt;=2,AA40,0)</f>
        <v>0</v>
      </c>
      <c r="AD41" s="57" t="n">
        <f aca="false">IF(Supuestos!$C$96&lt;=2,AB40,0)</f>
        <v>0</v>
      </c>
      <c r="AE41" s="57" t="n">
        <f aca="false">IF(Supuestos!$C$96&lt;=2,AC40,0)</f>
        <v>0</v>
      </c>
      <c r="AF41" s="57" t="n">
        <f aca="false">IF(Supuestos!$C$96&lt;=2,AD40,0)</f>
        <v>0</v>
      </c>
      <c r="AG41" s="57" t="n">
        <f aca="false">IF(Supuestos!$C$96&lt;=2,AE40,0)</f>
        <v>0</v>
      </c>
      <c r="AH41" s="57" t="n">
        <f aca="false">IF(Supuestos!$C$96&lt;=2,AF40,0)</f>
        <v>0</v>
      </c>
      <c r="AI41" s="57" t="n">
        <f aca="false">IF(Supuestos!$C$96&lt;=2,AG40,0)</f>
        <v>0</v>
      </c>
      <c r="AJ41" s="57" t="n">
        <f aca="false">IF(Supuestos!$C$96&lt;=2,AH40,0)</f>
        <v>0</v>
      </c>
      <c r="AK41" s="57" t="n">
        <f aca="false">IF(Supuestos!$C$96&lt;=2,AI40,0)</f>
        <v>0</v>
      </c>
      <c r="AL41" s="57" t="n">
        <f aca="false">IF(Supuestos!$C$96&lt;=2,AJ40,0)</f>
        <v>0</v>
      </c>
      <c r="AM41" s="57" t="n">
        <f aca="false">IF(Supuestos!$C$96&lt;=2,AK40,0)</f>
        <v>0</v>
      </c>
      <c r="AN41" s="57" t="n">
        <f aca="false">IF(Supuestos!$C$96&lt;=2,AL40,0)</f>
        <v>0</v>
      </c>
      <c r="AO41" s="57" t="n">
        <f aca="false">IF(Supuestos!$C$96&lt;=2,AM40,0)</f>
        <v>0</v>
      </c>
      <c r="AP41" s="57" t="n">
        <f aca="false">IF(Supuestos!$C$96&lt;=2,AN40,0)</f>
        <v>0</v>
      </c>
      <c r="AQ41" s="57" t="n">
        <f aca="false">IF(Supuestos!$C$96&lt;=2,AO40,0)</f>
        <v>0</v>
      </c>
      <c r="AR41" s="57" t="n">
        <f aca="false">IF(Supuestos!$C$96&lt;=2,AP40,0)</f>
        <v>0</v>
      </c>
      <c r="AS41" s="57" t="n">
        <f aca="false">IF(Supuestos!$C$96&lt;=2,AQ40,0)</f>
        <v>0</v>
      </c>
      <c r="AT41" s="57" t="n">
        <f aca="false">IF(Supuestos!$C$96&lt;=2,AR40,0)</f>
        <v>0</v>
      </c>
      <c r="AU41" s="57" t="n">
        <f aca="false">IF(Supuestos!$C$96&lt;=2,AS40,0)</f>
        <v>0</v>
      </c>
      <c r="AV41" s="57" t="n">
        <f aca="false">IF(Supuestos!$C$96&lt;=2,AT40,0)</f>
        <v>0</v>
      </c>
      <c r="AW41" s="57" t="n">
        <f aca="false">IF(Supuestos!$C$96&lt;=2,AU40,0)</f>
        <v>0</v>
      </c>
      <c r="AX41" s="57" t="n">
        <f aca="false">IF(Supuestos!$C$96&lt;=2,AV40,0)</f>
        <v>0</v>
      </c>
      <c r="AY41" s="57" t="n">
        <f aca="false">IF(Supuestos!$C$96&lt;=2,AW40,0)</f>
        <v>0</v>
      </c>
      <c r="AZ41" s="57" t="n">
        <f aca="false">IF(Supuestos!$C$96&lt;=2,AX40,0)</f>
        <v>0</v>
      </c>
      <c r="BA41" s="57" t="n">
        <f aca="false">IF(Supuestos!$C$96&lt;=2,AY40,0)</f>
        <v>0</v>
      </c>
      <c r="BB41" s="57" t="n">
        <f aca="false">IF(Supuestos!$C$96&lt;=2,AZ40,0)</f>
        <v>0</v>
      </c>
      <c r="BC41" s="57" t="n">
        <f aca="false">IF(Supuestos!$C$96&lt;=2,BA40,0)</f>
        <v>0</v>
      </c>
      <c r="BD41" s="57" t="n">
        <f aca="false">IF(Supuestos!$C$96&lt;=2,BB40,0)</f>
        <v>0</v>
      </c>
      <c r="BE41" s="57" t="n">
        <f aca="false">IF(Supuestos!$C$96&lt;=2,BC40,0)</f>
        <v>0</v>
      </c>
      <c r="BF41" s="57" t="n">
        <f aca="false">IF(Supuestos!$C$96&lt;=2,BD40,0)</f>
        <v>0</v>
      </c>
      <c r="BG41" s="57" t="n">
        <f aca="false">IF(Supuestos!$C$96&lt;=2,BE40,0)</f>
        <v>0</v>
      </c>
      <c r="BH41" s="57" t="n">
        <f aca="false">IF(Supuestos!$C$96&lt;=2,BF40,0)</f>
        <v>0</v>
      </c>
      <c r="BI41" s="57" t="n">
        <f aca="false">IF(Supuestos!$C$96&lt;=2,BG40,0)</f>
        <v>0</v>
      </c>
      <c r="BJ41" s="57" t="n">
        <f aca="false">IF(Supuestos!$C$96&lt;=2,BH40,0)</f>
        <v>0</v>
      </c>
      <c r="BK41" s="57" t="n">
        <f aca="false">IF(Supuestos!$C$96&lt;=2,BI40,0)</f>
        <v>0</v>
      </c>
      <c r="BL41" s="57" t="n">
        <f aca="false">IF(Supuestos!$C$96&lt;=2,BJ40,0)</f>
        <v>0</v>
      </c>
      <c r="BM41" s="57" t="n">
        <f aca="false">IF(Supuestos!$C$96&lt;=2,BK40,0)</f>
        <v>0</v>
      </c>
      <c r="BN41" s="57" t="n">
        <f aca="false">IF(Supuestos!$C$96&lt;=2,BL40,0)</f>
        <v>0</v>
      </c>
      <c r="BO41" s="57" t="n">
        <f aca="false">IF(Supuestos!$C$96&lt;=2,BM40,0)</f>
        <v>0</v>
      </c>
      <c r="BP41" s="57" t="n">
        <f aca="false">IF(Supuestos!$C$96&lt;=2,BN40,0)</f>
        <v>0</v>
      </c>
      <c r="BQ41" s="57" t="n">
        <f aca="false">IF(Supuestos!$C$96&lt;=2,BO40,0)</f>
        <v>0</v>
      </c>
      <c r="BR41" s="57" t="n">
        <f aca="false">IF(Supuestos!$C$96&lt;=2,BP40,0)</f>
        <v>0</v>
      </c>
      <c r="BS41" s="57" t="n">
        <f aca="false">IF(Supuestos!$C$96&lt;=2,BQ40,0)</f>
        <v>0</v>
      </c>
      <c r="BT41" s="57" t="n">
        <f aca="false">IF(Supuestos!$C$96&lt;=2,BR40,0)</f>
        <v>0</v>
      </c>
      <c r="BU41" s="57" t="n">
        <f aca="false">IF(Supuestos!$C$96&lt;=2,BS40,0)</f>
        <v>0</v>
      </c>
      <c r="BV41" s="57" t="n">
        <f aca="false">IF(Supuestos!$C$96&lt;=2,BT40,0)</f>
        <v>0</v>
      </c>
      <c r="BW41" s="57" t="n">
        <f aca="false">IF(Supuestos!$C$96&lt;=2,BU40,0)</f>
        <v>0</v>
      </c>
      <c r="BX41" s="57" t="n">
        <f aca="false">IF(Supuestos!$C$96&lt;=2,BV40,0)</f>
        <v>0</v>
      </c>
      <c r="BY41" s="57" t="n">
        <f aca="false">IF(Supuestos!$C$96&lt;=2,BW40,0)</f>
        <v>0</v>
      </c>
      <c r="BZ41" s="57" t="n">
        <f aca="false">IF(Supuestos!$C$96&lt;=2,BX40,0)</f>
        <v>0</v>
      </c>
      <c r="CA41" s="57" t="n">
        <f aca="false">IF(Supuestos!$C$96&lt;=2,BY40,0)</f>
        <v>0</v>
      </c>
      <c r="CB41" s="57" t="n">
        <f aca="false">IF(Supuestos!$C$96&lt;=2,BZ40,0)</f>
        <v>0</v>
      </c>
      <c r="CC41" s="57" t="n">
        <f aca="false">IF(Supuestos!$C$96&lt;=2,CA40,0)</f>
        <v>0</v>
      </c>
      <c r="CD41" s="57" t="n">
        <f aca="false">IF(Supuestos!$C$96&lt;=2,CB40,0)</f>
        <v>0</v>
      </c>
      <c r="CE41" s="57" t="n">
        <f aca="false">IF(Supuestos!$C$96&lt;=2,CC40,0)</f>
        <v>0</v>
      </c>
      <c r="CF41" s="57" t="n">
        <f aca="false">IF(Supuestos!$C$96&lt;=2,CD40,0)</f>
        <v>0</v>
      </c>
      <c r="CG41" s="57" t="n">
        <f aca="false">IF(Supuestos!$C$96&lt;=2,CE40,0)</f>
        <v>0</v>
      </c>
      <c r="CH41" s="57" t="n">
        <f aca="false">IF(Supuestos!$C$96&lt;=2,CF40,0)</f>
        <v>0</v>
      </c>
      <c r="CI41" s="57" t="n">
        <f aca="false">IF(Supuestos!$C$96&lt;=2,CG40,0)</f>
        <v>0</v>
      </c>
      <c r="CJ41" s="57" t="n">
        <f aca="false">IF(Supuestos!$C$96&lt;=2,CH40,0)</f>
        <v>0</v>
      </c>
      <c r="CK41" s="57" t="n">
        <f aca="false">IF(Supuestos!$C$96&lt;=2,CI40,0)</f>
        <v>0</v>
      </c>
      <c r="CL41" s="57" t="n">
        <f aca="false">IF(Supuestos!$C$96&lt;=2,CJ40,0)</f>
        <v>0</v>
      </c>
      <c r="CM41" s="57" t="n">
        <f aca="false">IF(Supuestos!$C$96&lt;=2,CK40,0)</f>
        <v>0</v>
      </c>
      <c r="CN41" s="57" t="n">
        <f aca="false">IF(Supuestos!$C$96&lt;=2,CL40,0)</f>
        <v>0</v>
      </c>
      <c r="CO41" s="57" t="n">
        <f aca="false">IF(Supuestos!$C$96&lt;=2,CM40,0)</f>
        <v>0</v>
      </c>
      <c r="CP41" s="57" t="n">
        <f aca="false">IF(Supuestos!$C$96&lt;=2,CN40,0)</f>
        <v>0</v>
      </c>
      <c r="CQ41" s="57" t="n">
        <f aca="false">IF(Supuestos!$C$96&lt;=2,CO40,0)</f>
        <v>0</v>
      </c>
      <c r="CR41" s="57" t="n">
        <f aca="false">IF(Supuestos!$C$96&lt;=2,CP40,0)</f>
        <v>0</v>
      </c>
      <c r="CS41" s="57" t="n">
        <f aca="false">IF(Supuestos!$C$96&lt;=2,CQ40,0)</f>
        <v>0</v>
      </c>
      <c r="CT41" s="57" t="n">
        <f aca="false">IF(Supuestos!$C$96&lt;=2,CR40,0)</f>
        <v>0</v>
      </c>
    </row>
    <row r="42" customFormat="false" ht="15" hidden="false" customHeight="true" outlineLevel="0" collapsed="false">
      <c r="B42" s="19" t="s">
        <v>618</v>
      </c>
      <c r="C42" s="66" t="n">
        <f aca="false">Deuda!C10</f>
        <v>0</v>
      </c>
      <c r="D42" s="66" t="n">
        <f aca="false">Deuda!D10</f>
        <v>0</v>
      </c>
      <c r="E42" s="66" t="n">
        <f aca="false">Deuda!E10</f>
        <v>0</v>
      </c>
      <c r="F42" s="66" t="n">
        <f aca="false">Deuda!F10</f>
        <v>0</v>
      </c>
      <c r="G42" s="66" t="n">
        <f aca="false">Deuda!G10</f>
        <v>0</v>
      </c>
      <c r="H42" s="66" t="n">
        <f aca="false">Deuda!H10</f>
        <v>0</v>
      </c>
      <c r="I42" s="66" t="n">
        <f aca="false">Deuda!I10</f>
        <v>0</v>
      </c>
      <c r="J42" s="66" t="n">
        <f aca="false">Deuda!J10</f>
        <v>0</v>
      </c>
      <c r="K42" s="66" t="n">
        <f aca="false">Deuda!K10</f>
        <v>0</v>
      </c>
      <c r="L42" s="66" t="n">
        <f aca="false">Deuda!L10</f>
        <v>0</v>
      </c>
      <c r="M42" s="66" t="n">
        <f aca="false">Deuda!M10</f>
        <v>0</v>
      </c>
      <c r="N42" s="66" t="n">
        <f aca="false">Deuda!N10</f>
        <v>0</v>
      </c>
      <c r="O42" s="66" t="n">
        <f aca="false">Deuda!O10</f>
        <v>0</v>
      </c>
      <c r="P42" s="66" t="n">
        <f aca="false">Deuda!P10</f>
        <v>0</v>
      </c>
      <c r="Q42" s="66" t="n">
        <f aca="false">Deuda!Q10</f>
        <v>0</v>
      </c>
      <c r="R42" s="66" t="n">
        <f aca="false">Deuda!R10</f>
        <v>0</v>
      </c>
      <c r="S42" s="66" t="n">
        <f aca="false">Deuda!S10</f>
        <v>0</v>
      </c>
      <c r="T42" s="66" t="n">
        <f aca="false">Deuda!T10</f>
        <v>0</v>
      </c>
      <c r="U42" s="66" t="n">
        <f aca="false">Deuda!U10</f>
        <v>0</v>
      </c>
      <c r="V42" s="66" t="n">
        <f aca="false">Deuda!V10</f>
        <v>0</v>
      </c>
      <c r="W42" s="66" t="n">
        <f aca="false">Deuda!W10</f>
        <v>0</v>
      </c>
      <c r="X42" s="66" t="n">
        <f aca="false">Deuda!X10</f>
        <v>0</v>
      </c>
      <c r="Y42" s="66" t="n">
        <f aca="false">Deuda!Y10</f>
        <v>0</v>
      </c>
      <c r="Z42" s="66" t="n">
        <f aca="false">Deuda!Z10</f>
        <v>0</v>
      </c>
      <c r="AA42" s="66" t="n">
        <f aca="false">Deuda!AA10</f>
        <v>0</v>
      </c>
      <c r="AB42" s="66" t="n">
        <f aca="false">Deuda!AB10</f>
        <v>0</v>
      </c>
      <c r="AC42" s="66" t="n">
        <f aca="false">Deuda!AC10</f>
        <v>0</v>
      </c>
      <c r="AD42" s="66" t="n">
        <f aca="false">Deuda!AD10</f>
        <v>0</v>
      </c>
      <c r="AE42" s="66" t="n">
        <f aca="false">Deuda!AE10</f>
        <v>0</v>
      </c>
      <c r="AF42" s="66" t="n">
        <f aca="false">Deuda!AF10</f>
        <v>0</v>
      </c>
      <c r="AG42" s="66" t="n">
        <f aca="false">Deuda!AG10</f>
        <v>0</v>
      </c>
      <c r="AH42" s="66" t="n">
        <f aca="false">Deuda!AH10</f>
        <v>0</v>
      </c>
      <c r="AI42" s="66" t="n">
        <f aca="false">Deuda!AI10</f>
        <v>0</v>
      </c>
      <c r="AJ42" s="66" t="n">
        <f aca="false">Deuda!AJ10</f>
        <v>0</v>
      </c>
      <c r="AK42" s="66" t="n">
        <f aca="false">Deuda!AK10</f>
        <v>0</v>
      </c>
      <c r="AL42" s="66" t="n">
        <f aca="false">Deuda!AL10</f>
        <v>0</v>
      </c>
      <c r="AM42" s="66" t="n">
        <f aca="false">Deuda!AM10</f>
        <v>0</v>
      </c>
      <c r="AN42" s="66" t="n">
        <f aca="false">Deuda!AN10</f>
        <v>0</v>
      </c>
      <c r="AO42" s="66" t="n">
        <f aca="false">Deuda!AO10</f>
        <v>0</v>
      </c>
      <c r="AP42" s="66" t="n">
        <f aca="false">Deuda!AP10</f>
        <v>0</v>
      </c>
      <c r="AQ42" s="66" t="n">
        <f aca="false">Deuda!AQ10</f>
        <v>0</v>
      </c>
      <c r="AR42" s="66" t="n">
        <f aca="false">Deuda!AR10</f>
        <v>0</v>
      </c>
      <c r="AS42" s="66" t="n">
        <f aca="false">Deuda!AS10</f>
        <v>0</v>
      </c>
      <c r="AT42" s="66" t="n">
        <f aca="false">Deuda!AT10</f>
        <v>0</v>
      </c>
      <c r="AU42" s="66" t="n">
        <f aca="false">Deuda!AU10</f>
        <v>0</v>
      </c>
      <c r="AV42" s="66" t="n">
        <f aca="false">Deuda!AV10</f>
        <v>0</v>
      </c>
      <c r="AW42" s="66" t="n">
        <f aca="false">Deuda!AW10</f>
        <v>0</v>
      </c>
      <c r="AX42" s="66" t="n">
        <f aca="false">Deuda!AX10</f>
        <v>0</v>
      </c>
      <c r="AY42" s="66" t="n">
        <f aca="false">Deuda!AY10</f>
        <v>0</v>
      </c>
      <c r="AZ42" s="66" t="n">
        <f aca="false">Deuda!AZ10</f>
        <v>0</v>
      </c>
      <c r="BA42" s="66" t="n">
        <f aca="false">Deuda!BA10</f>
        <v>0</v>
      </c>
      <c r="BB42" s="66" t="n">
        <f aca="false">Deuda!BB10</f>
        <v>0</v>
      </c>
      <c r="BC42" s="66" t="n">
        <f aca="false">Deuda!BC10</f>
        <v>0</v>
      </c>
      <c r="BD42" s="66" t="n">
        <f aca="false">Deuda!BD10</f>
        <v>0</v>
      </c>
      <c r="BE42" s="66" t="n">
        <f aca="false">Deuda!BE10</f>
        <v>0</v>
      </c>
      <c r="BF42" s="66" t="n">
        <f aca="false">Deuda!BF10</f>
        <v>0</v>
      </c>
      <c r="BG42" s="66" t="n">
        <f aca="false">Deuda!BG10</f>
        <v>0</v>
      </c>
      <c r="BH42" s="66" t="n">
        <f aca="false">Deuda!BH10</f>
        <v>0</v>
      </c>
      <c r="BI42" s="66" t="n">
        <f aca="false">Deuda!BI10</f>
        <v>0</v>
      </c>
      <c r="BJ42" s="66" t="n">
        <f aca="false">Deuda!BJ10</f>
        <v>0</v>
      </c>
      <c r="BK42" s="66" t="n">
        <f aca="false">Deuda!BK10</f>
        <v>0</v>
      </c>
      <c r="BL42" s="66" t="n">
        <f aca="false">Deuda!BL10</f>
        <v>0</v>
      </c>
      <c r="BM42" s="66" t="n">
        <f aca="false">Deuda!BM10</f>
        <v>0</v>
      </c>
      <c r="BN42" s="66" t="n">
        <f aca="false">Deuda!BN10</f>
        <v>0</v>
      </c>
      <c r="BO42" s="66" t="n">
        <f aca="false">Deuda!BO10</f>
        <v>0</v>
      </c>
      <c r="BP42" s="66" t="n">
        <f aca="false">Deuda!BP10</f>
        <v>0</v>
      </c>
      <c r="BQ42" s="66" t="n">
        <f aca="false">Deuda!BQ10</f>
        <v>0</v>
      </c>
      <c r="BR42" s="66" t="n">
        <f aca="false">Deuda!BR10</f>
        <v>0</v>
      </c>
      <c r="BS42" s="66" t="n">
        <f aca="false">Deuda!BS10</f>
        <v>0</v>
      </c>
      <c r="BT42" s="66" t="n">
        <f aca="false">Deuda!BT10</f>
        <v>0</v>
      </c>
      <c r="BU42" s="66" t="n">
        <f aca="false">Deuda!BU10</f>
        <v>0</v>
      </c>
      <c r="BV42" s="66" t="n">
        <f aca="false">Deuda!BV10</f>
        <v>0</v>
      </c>
      <c r="BW42" s="66" t="n">
        <f aca="false">Deuda!BW10</f>
        <v>0</v>
      </c>
      <c r="BX42" s="66" t="n">
        <f aca="false">Deuda!BX10</f>
        <v>0</v>
      </c>
      <c r="BY42" s="66" t="n">
        <f aca="false">Deuda!BY10</f>
        <v>0</v>
      </c>
      <c r="BZ42" s="66" t="n">
        <f aca="false">Deuda!BZ10</f>
        <v>0</v>
      </c>
      <c r="CA42" s="66" t="n">
        <f aca="false">Deuda!CA10</f>
        <v>0</v>
      </c>
      <c r="CB42" s="66" t="n">
        <f aca="false">Deuda!CB10</f>
        <v>0</v>
      </c>
      <c r="CC42" s="66" t="n">
        <f aca="false">Deuda!CC10</f>
        <v>0</v>
      </c>
      <c r="CD42" s="66" t="n">
        <f aca="false">Deuda!CD10</f>
        <v>0</v>
      </c>
      <c r="CE42" s="66" t="n">
        <f aca="false">Deuda!CE10</f>
        <v>0</v>
      </c>
      <c r="CF42" s="66" t="n">
        <f aca="false">Deuda!CF10</f>
        <v>0</v>
      </c>
      <c r="CG42" s="66" t="n">
        <f aca="false">Deuda!CG10</f>
        <v>0</v>
      </c>
      <c r="CH42" s="66" t="n">
        <f aca="false">Deuda!CH10</f>
        <v>0</v>
      </c>
      <c r="CI42" s="66" t="n">
        <f aca="false">Deuda!CI10</f>
        <v>0</v>
      </c>
      <c r="CJ42" s="66" t="n">
        <f aca="false">Deuda!CJ10</f>
        <v>0</v>
      </c>
      <c r="CK42" s="66" t="n">
        <f aca="false">Deuda!CK10</f>
        <v>0</v>
      </c>
      <c r="CL42" s="66" t="n">
        <f aca="false">Deuda!CL10</f>
        <v>0</v>
      </c>
      <c r="CM42" s="66" t="n">
        <f aca="false">Deuda!CM10</f>
        <v>0</v>
      </c>
      <c r="CN42" s="66" t="n">
        <f aca="false">Deuda!CN10</f>
        <v>0</v>
      </c>
      <c r="CO42" s="66" t="n">
        <f aca="false">Deuda!CO10</f>
        <v>0</v>
      </c>
      <c r="CP42" s="66" t="n">
        <f aca="false">Deuda!CP10</f>
        <v>0</v>
      </c>
      <c r="CQ42" s="66" t="n">
        <f aca="false">Deuda!CQ10</f>
        <v>0</v>
      </c>
      <c r="CR42" s="66" t="n">
        <f aca="false">Deuda!CR10</f>
        <v>0</v>
      </c>
      <c r="CS42" s="66" t="n">
        <f aca="false">Deuda!CS10</f>
        <v>0</v>
      </c>
      <c r="CT42" s="66" t="n">
        <f aca="false">Deuda!CT10</f>
        <v>0</v>
      </c>
    </row>
    <row r="43" customFormat="false" ht="15" hidden="false" customHeight="true" outlineLevel="0" collapsed="false">
      <c r="B43" s="46" t="s">
        <v>619</v>
      </c>
      <c r="C43" s="58" t="n">
        <f aca="false">C39+C40-C41+C42</f>
        <v>3750000</v>
      </c>
      <c r="D43" s="58" t="n">
        <f aca="false">D39+D40-D41+D42</f>
        <v>12603462.6636483</v>
      </c>
      <c r="E43" s="58" t="n">
        <f aca="false">E39+E40-E41+E42</f>
        <v>13910269.318813</v>
      </c>
      <c r="F43" s="58" t="n">
        <f aca="false">F39+F40-F41+F42</f>
        <v>19476757.5219066</v>
      </c>
      <c r="G43" s="58" t="n">
        <f aca="false">G39+G40-G41+G42</f>
        <v>23034212.7027167</v>
      </c>
      <c r="H43" s="58" t="n">
        <f aca="false">H39+H40-H41+H42</f>
        <v>21825587.6599249</v>
      </c>
      <c r="I43" s="58" t="n">
        <f aca="false">I39+I40-I41+I42</f>
        <v>20974843.0400781</v>
      </c>
      <c r="J43" s="58" t="n">
        <f aca="false">J39+J40-J41+J42</f>
        <v>23010114.3675232</v>
      </c>
      <c r="K43" s="58" t="n">
        <f aca="false">K39+K40-K41+K42</f>
        <v>21487615.5870518</v>
      </c>
      <c r="L43" s="58" t="n">
        <f aca="false">L39+L40-L41+L42</f>
        <v>22653799.9653751</v>
      </c>
      <c r="M43" s="58" t="n">
        <f aca="false">M39+M40-M41+M42</f>
        <v>24266745.8912801</v>
      </c>
      <c r="N43" s="58" t="n">
        <f aca="false">N39+N40-N41+N42</f>
        <v>22288537.5256278</v>
      </c>
      <c r="O43" s="58" t="n">
        <f aca="false">O39+O40-O41+O42</f>
        <v>21884636.6721828</v>
      </c>
      <c r="P43" s="58" t="n">
        <f aca="false">P39+P40-P41+P42</f>
        <v>28215187.7810422</v>
      </c>
      <c r="Q43" s="58" t="n">
        <f aca="false">Q39+Q40-Q41+Q42</f>
        <v>29259677.2639015</v>
      </c>
      <c r="R43" s="58" t="n">
        <f aca="false">R39+R40-R41+R42</f>
        <v>34977105.1210101</v>
      </c>
      <c r="S43" s="58" t="n">
        <f aca="false">S39+S40-S41+S42</f>
        <v>38747942.8932871</v>
      </c>
      <c r="T43" s="58" t="n">
        <f aca="false">T39+T40-T41+T42</f>
        <v>37778430.6802676</v>
      </c>
      <c r="U43" s="58" t="n">
        <f aca="false">U39+U40-U41+U42</f>
        <v>37196681.6831712</v>
      </c>
      <c r="V43" s="58" t="n">
        <f aca="false">V39+V40-V41+V42</f>
        <v>39521620.720253</v>
      </c>
      <c r="W43" s="58" t="n">
        <f aca="false">W39+W40-W41+W42</f>
        <v>38282347.6785631</v>
      </c>
      <c r="X43" s="58" t="n">
        <f aca="false">X39+X40-X41+X42</f>
        <v>39723045.9790862</v>
      </c>
      <c r="Y43" s="58" t="n">
        <f aca="false">Y39+Y40-Y41+Y42</f>
        <v>41623167.9923245</v>
      </c>
      <c r="Z43" s="58" t="n">
        <f aca="false">Z39+Z40-Z41+Z42</f>
        <v>43046684.4066304</v>
      </c>
      <c r="AA43" s="58" t="n">
        <f aca="false">AA39+AA40-AA41+AA42</f>
        <v>42962321.7508014</v>
      </c>
      <c r="AB43" s="58" t="n">
        <f aca="false">AB39+AB40-AB41+AB42</f>
        <v>49649380.6153975</v>
      </c>
      <c r="AC43" s="58" t="n">
        <f aca="false">AC39+AC40-AC41+AC42</f>
        <v>54108148.4409042</v>
      </c>
      <c r="AD43" s="58" t="n">
        <f aca="false">AD39+AD40-AD41+AD42</f>
        <v>60131190.2359247</v>
      </c>
      <c r="AE43" s="58" t="n">
        <f aca="false">AE39+AE40-AE41+AE42</f>
        <v>64199942.6682003</v>
      </c>
      <c r="AF43" s="58" t="n">
        <f aca="false">AF39+AF40-AF41+AF42</f>
        <v>66645701.6246475</v>
      </c>
      <c r="AG43" s="58" t="n">
        <f aca="false">AG39+AG40-AG41+AG42</f>
        <v>66364961.2896288</v>
      </c>
      <c r="AH43" s="58" t="n">
        <f aca="false">AH39+AH40-AH41+AH42</f>
        <v>68999020.3206426</v>
      </c>
      <c r="AI43" s="58" t="n">
        <f aca="false">AI39+AI40-AI41+AI42</f>
        <v>71186217.8088536</v>
      </c>
      <c r="AJ43" s="58" t="n">
        <f aca="false">AJ39+AJ40-AJ41+AJ42</f>
        <v>72923373.7247218</v>
      </c>
      <c r="AK43" s="58" t="n">
        <f aca="false">AK39+AK40-AK41+AK42</f>
        <v>75128103.5576632</v>
      </c>
      <c r="AL43" s="58" t="n">
        <f aca="false">AL39+AL40-AL41+AL42</f>
        <v>76848595.9000173</v>
      </c>
      <c r="AM43" s="58" t="n">
        <f aca="false">AM39+AM40-AM41+AM42</f>
        <v>77090876.7017358</v>
      </c>
      <c r="AN43" s="58" t="n">
        <f aca="false">AN39+AN40-AN41+AN42</f>
        <v>83952104.677251</v>
      </c>
      <c r="AO43" s="58" t="n">
        <f aca="false">AO39+AO40-AO41+AO42</f>
        <v>88603713.3732462</v>
      </c>
      <c r="AP43" s="58" t="n">
        <f aca="false">AP39+AP40-AP41+AP42</f>
        <v>94830157.3289909</v>
      </c>
      <c r="AQ43" s="58" t="n">
        <f aca="false">AQ39+AQ40-AQ41+AQ42</f>
        <v>99096083.6446909</v>
      </c>
      <c r="AR43" s="58" t="n">
        <f aca="false">AR39+AR40-AR41+AR42</f>
        <v>101732848.680614</v>
      </c>
      <c r="AS43" s="58" t="n">
        <f aca="false">AS39+AS40-AS41+AS42</f>
        <v>101649600.860705</v>
      </c>
      <c r="AT43" s="58" t="n">
        <f aca="false">AT39+AT40-AT41+AT42</f>
        <v>104487613.841843</v>
      </c>
      <c r="AU43" s="58" t="n">
        <f aca="false">AU39+AU40-AU41+AU42</f>
        <v>106872590.349103</v>
      </c>
      <c r="AV43" s="58" t="n">
        <f aca="false">AV39+AV40-AV41+AV42</f>
        <v>108801384.427551</v>
      </c>
      <c r="AW43" s="58" t="n">
        <f aca="false">AW39+AW40-AW41+AW42</f>
        <v>111204252.607041</v>
      </c>
      <c r="AX43" s="58" t="n">
        <f aca="false">AX39+AX40-AX41+AX42</f>
        <v>113116725.332323</v>
      </c>
      <c r="AY43" s="58" t="n">
        <f aca="false">AY39+AY40-AY41+AY42</f>
        <v>113575751.565234</v>
      </c>
      <c r="AZ43" s="58" t="n">
        <f aca="false">AZ39+AZ40-AZ41+AZ42</f>
        <v>120701638.282302</v>
      </c>
      <c r="BA43" s="58" t="n">
        <f aca="false">BA39+BA40-BA41+BA42</f>
        <v>125590636.992449</v>
      </c>
      <c r="BB43" s="58" t="n">
        <f aca="false">BB39+BB40-BB41+BB42</f>
        <v>132065314.389962</v>
      </c>
      <c r="BC43" s="58" t="n">
        <f aca="false">BC39+BC40-BC41+BC42</f>
        <v>136573203.034551</v>
      </c>
      <c r="BD43" s="58" t="n">
        <f aca="false">BD39+BD40-BD41+BD42</f>
        <v>139445714.111772</v>
      </c>
      <c r="BE43" s="58" t="n">
        <f aca="false">BE39+BE40-BE41+BE42</f>
        <v>139604827.777066</v>
      </c>
      <c r="BF43" s="58" t="n">
        <f aca="false">BF39+BF40-BF41+BF42</f>
        <v>142691792.641572</v>
      </c>
      <c r="BG43" s="58" t="n">
        <f aca="false">BG39+BG40-BG41+BG42</f>
        <v>145319494.756929</v>
      </c>
      <c r="BH43" s="58" t="n">
        <f aca="false">BH39+BH40-BH41+BH42</f>
        <v>147484820.911402</v>
      </c>
      <c r="BI43" s="58" t="n">
        <f aca="false">BI39+BI40-BI41+BI42</f>
        <v>150130848.325579</v>
      </c>
      <c r="BJ43" s="58" t="n">
        <f aca="false">BJ39+BJ40-BJ41+BJ42</f>
        <v>152280269.992239</v>
      </c>
      <c r="BK43" s="58" t="n">
        <f aca="false">BK39+BK40-BK41+BK42</f>
        <v>153001193.729891</v>
      </c>
      <c r="BL43" s="58" t="n">
        <f aca="false">BL39+BL40-BL41+BL42</f>
        <v>160441294.988659</v>
      </c>
      <c r="BM43" s="58" t="n">
        <f aca="false">BM39+BM40-BM41+BM42</f>
        <v>165578098.19799</v>
      </c>
      <c r="BN43" s="58" t="n">
        <f aca="false">BN39+BN40-BN41+BN42</f>
        <v>172311821.016323</v>
      </c>
      <c r="BO43" s="58" t="n">
        <f aca="false">BO39+BO40-BO41+BO42</f>
        <v>177072324.271374</v>
      </c>
      <c r="BP43" s="58" t="n">
        <f aca="false">BP39+BP40-BP41+BP42</f>
        <v>180191072.212262</v>
      </c>
      <c r="BQ43" s="58" t="n">
        <f aca="false">BQ39+BQ40-BQ41+BQ42</f>
        <v>180603217.100328</v>
      </c>
      <c r="BR43" s="58" t="n">
        <f aca="false">BR39+BR40-BR41+BR42</f>
        <v>183949983.546015</v>
      </c>
      <c r="BS43" s="58" t="n">
        <f aca="false">BS39+BS40-BS41+BS42</f>
        <v>186831100.202197</v>
      </c>
      <c r="BT43" s="58" t="n">
        <f aca="false">BT39+BT40-BT41+BT42</f>
        <v>189243485.387244</v>
      </c>
      <c r="BU43" s="58" t="n">
        <f aca="false">BU39+BU40-BU41+BU42</f>
        <v>192143377.661204</v>
      </c>
      <c r="BV43" s="58" t="n">
        <f aca="false">BV39+BV40-BV41+BV42</f>
        <v>194540292.423837</v>
      </c>
      <c r="BW43" s="58" t="n">
        <f aca="false">BW39+BW40-BW41+BW42</f>
        <v>195534056.79666</v>
      </c>
      <c r="BX43" s="58" t="n">
        <f aca="false">BX39+BX40-BX41+BX42</f>
        <v>203300346.267482</v>
      </c>
      <c r="BY43" s="58" t="n">
        <f aca="false">BY39+BY40-BY41+BY42</f>
        <v>208695546.826204</v>
      </c>
      <c r="BZ43" s="58" t="n">
        <f aca="false">BZ39+BZ40-BZ41+BZ42</f>
        <v>215699308.366522</v>
      </c>
      <c r="CA43" s="58" t="n">
        <f aca="false">CA39+CA40-CA41+CA42</f>
        <v>220723257.230908</v>
      </c>
      <c r="CB43" s="58" t="n">
        <f aca="false">CB39+CB40-CB41+CB42</f>
        <v>224098909.196338</v>
      </c>
      <c r="CC43" s="58" t="n">
        <f aca="false">CC39+CC40-CC41+CC42</f>
        <v>224774933.761076</v>
      </c>
      <c r="CD43" s="58" t="n">
        <f aca="false">CD39+CD40-CD41+CD42</f>
        <v>228392532.616231</v>
      </c>
      <c r="CE43" s="58" t="n">
        <f aca="false">CE39+CE40-CE41+CE42</f>
        <v>231537931.665243</v>
      </c>
      <c r="CF43" s="58" t="n">
        <f aca="false">CF39+CF40-CF41+CF42</f>
        <v>234208079.572948</v>
      </c>
      <c r="CG43" s="58" t="n">
        <f aca="false">CG39+CG40-CG41+CG42</f>
        <v>237372721.545932</v>
      </c>
      <c r="CH43" s="58" t="n">
        <f aca="false">CH39+CH40-CH41+CH42</f>
        <v>240027850.59254</v>
      </c>
      <c r="CI43" s="58" t="n">
        <f aca="false">CI39+CI40-CI41+CI42</f>
        <v>241305585.549403</v>
      </c>
      <c r="CJ43" s="58" t="n">
        <f aca="false">CJ39+CJ40-CJ41+CJ42</f>
        <v>249410243.673028</v>
      </c>
      <c r="CK43" s="58" t="n">
        <f aca="false">CK39+CK40-CK41+CK42</f>
        <v>255074616.244791</v>
      </c>
      <c r="CL43" s="58" t="n">
        <f aca="false">CL39+CL40-CL41+CL42</f>
        <v>262359595.534782</v>
      </c>
      <c r="CM43" s="58" t="n">
        <f aca="false">CM39+CM40-CM41+CM42</f>
        <v>267658004.464134</v>
      </c>
      <c r="CN43" s="58" t="n">
        <f aca="false">CN39+CN40-CN41+CN42</f>
        <v>271301408.828591</v>
      </c>
      <c r="CO43" s="58" t="n">
        <f aca="false">CO39+CO40-CO41+CO42</f>
        <v>272252345.286</v>
      </c>
      <c r="CP43" s="58" t="n">
        <f aca="false">CP39+CP40-CP41+CP42</f>
        <v>276151993.676634</v>
      </c>
      <c r="CQ43" s="58" t="n">
        <f aca="false">CQ39+CQ40-CQ41+CQ42</f>
        <v>279572727.019214</v>
      </c>
      <c r="CR43" s="58" t="n">
        <f aca="false">CR39+CR40-CR41+CR42</f>
        <v>282511523.157892</v>
      </c>
      <c r="CS43" s="58" t="n">
        <f aca="false">CS39+CS40-CS41+CS42</f>
        <v>285951984.039431</v>
      </c>
      <c r="CT43" s="58" t="n">
        <f aca="false">CT39+CT40-CT41+CT42</f>
        <v>288876230.687737</v>
      </c>
    </row>
    <row r="45" customFormat="false" ht="15" hidden="false" customHeight="true" outlineLevel="0" collapsed="false">
      <c r="B45" s="56" t="s">
        <v>620</v>
      </c>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row>
    <row r="46" customFormat="false" ht="15" hidden="false" customHeight="true" outlineLevel="0" collapsed="false">
      <c r="B46" s="46" t="s">
        <v>621</v>
      </c>
      <c r="C46" s="60" t="n">
        <f aca="false">C19-C27+C35+C43</f>
        <v>12389107526.8936</v>
      </c>
      <c r="D46" s="60" t="n">
        <f aca="false">D19-D27+D35+D43</f>
        <v>1219437842.71856</v>
      </c>
      <c r="E46" s="60" t="n">
        <f aca="false">E19-E27+E35+E43</f>
        <v>6510695431.10017</v>
      </c>
      <c r="F46" s="60" t="n">
        <f aca="false">F19-F27+F35+F43</f>
        <v>4210002252.81305</v>
      </c>
      <c r="G46" s="60" t="n">
        <f aca="false">G19-G27+G35+G43</f>
        <v>-1483755438.19721</v>
      </c>
      <c r="H46" s="60" t="n">
        <f aca="false">H19-H27+H35+H43</f>
        <v>-4745384.23137391</v>
      </c>
      <c r="I46" s="60" t="n">
        <f aca="false">I19-I27+I35+I43</f>
        <v>1409513667.19798</v>
      </c>
      <c r="J46" s="60" t="n">
        <f aca="false">J19-J27+J35+J43</f>
        <v>-1834040727.21679</v>
      </c>
      <c r="K46" s="60" t="n">
        <f aca="false">K19-K27+K35+K43</f>
        <v>1391680753.49819</v>
      </c>
      <c r="L46" s="60" t="n">
        <f aca="false">L19-L27+L35+L43</f>
        <v>1935903966.35326</v>
      </c>
      <c r="M46" s="60" t="n">
        <f aca="false">M19-M27+M35+M43</f>
        <v>-2376338273.53297</v>
      </c>
      <c r="N46" s="60" t="n">
        <f aca="false">N19-N27+N35+N43</f>
        <v>534123173.458013</v>
      </c>
      <c r="O46" s="60" t="n">
        <f aca="false">O19-O27+O35+O43</f>
        <v>6536490957.34427</v>
      </c>
      <c r="P46" s="60" t="n">
        <f aca="false">P19-P27+P35+P43</f>
        <v>1227786013.5482</v>
      </c>
      <c r="Q46" s="60" t="n">
        <f aca="false">Q19-Q27+Q35+Q43</f>
        <v>6872672941.06519</v>
      </c>
      <c r="R46" s="60" t="n">
        <f aca="false">R19-R27+R35+R43</f>
        <v>4554403345.64876</v>
      </c>
      <c r="S46" s="60" t="n">
        <f aca="false">S19-S27+S35+S43</f>
        <v>-1152595741.3077</v>
      </c>
      <c r="T46" s="60" t="n">
        <f aca="false">T19-T27+T35+T43</f>
        <v>340108204.025575</v>
      </c>
      <c r="U46" s="60" t="n">
        <f aca="false">U19-U27+U35+U43</f>
        <v>1768091029.61535</v>
      </c>
      <c r="V46" s="60" t="n">
        <f aca="false">V19-V27+V35+V43</f>
        <v>-1488628475.62746</v>
      </c>
      <c r="W46" s="60" t="n">
        <f aca="false">W19-W27+W35+W43</f>
        <v>1723921452.28865</v>
      </c>
      <c r="X46" s="60" t="n">
        <f aca="false">X19-X27+X35+X43</f>
        <v>2281873957.60358</v>
      </c>
      <c r="Y46" s="60" t="n">
        <f aca="false">Y19-Y27+Y35+Y43</f>
        <v>1706464115.26701</v>
      </c>
      <c r="Z46" s="60" t="n">
        <f aca="false">Z19-Z27+Z35+Z43</f>
        <v>918114442.881313</v>
      </c>
      <c r="AA46" s="60" t="n">
        <f aca="false">AA19-AA27+AA35+AA43</f>
        <v>6964453369.12851</v>
      </c>
      <c r="AB46" s="60" t="n">
        <f aca="false">AB19-AB27+AB35+AB43</f>
        <v>5324539309.41987</v>
      </c>
      <c r="AC46" s="60" t="n">
        <f aca="false">AC19-AC27+AC35+AC43</f>
        <v>7239222672.886</v>
      </c>
      <c r="AD46" s="60" t="n">
        <f aca="false">AD19-AD27+AD35+AD43</f>
        <v>4911863232.24467</v>
      </c>
      <c r="AE46" s="60" t="n">
        <f aca="false">AE19-AE27+AE35+AE43</f>
        <v>2945766600.7854</v>
      </c>
      <c r="AF46" s="60" t="n">
        <f aca="false">AF19-AF27+AF35+AF43</f>
        <v>701281276.450954</v>
      </c>
      <c r="AG46" s="60" t="n">
        <f aca="false">AG19-AG27+AG35+AG43</f>
        <v>2138960569.8656</v>
      </c>
      <c r="AH46" s="60" t="n">
        <f aca="false">AH19-AH27+AH35+AH43</f>
        <v>2623154725.45394</v>
      </c>
      <c r="AI46" s="60" t="n">
        <f aca="false">AI19-AI27+AI35+AI43</f>
        <v>2079735664.73713</v>
      </c>
      <c r="AJ46" s="60" t="n">
        <f aca="false">AJ19-AJ27+AJ35+AJ43</f>
        <v>2647380086.83021</v>
      </c>
      <c r="AK46" s="60" t="n">
        <f aca="false">AK19-AK27+AK35+AK43</f>
        <v>2062879393.15055</v>
      </c>
      <c r="AL46" s="60" t="n">
        <f aca="false">AL19-AL27+AL35+AL43</f>
        <v>1310272889.27939</v>
      </c>
      <c r="AM46" s="60" t="n">
        <f aca="false">AM19-AM27+AM35+AM43</f>
        <v>7173510143.38295</v>
      </c>
      <c r="AN46" s="60" t="n">
        <f aca="false">AN19-AN27+AN35+AN43</f>
        <v>5552404514.44709</v>
      </c>
      <c r="AO46" s="60" t="n">
        <f aca="false">AO19-AO27+AO35+AO43</f>
        <v>7483102453.06906</v>
      </c>
      <c r="AP46" s="60" t="n">
        <f aca="false">AP19-AP27+AP35+AP43</f>
        <v>5148426672.2645</v>
      </c>
      <c r="AQ46" s="60" t="n">
        <f aca="false">AQ19-AQ27+AQ35+AQ43</f>
        <v>3175007472.36469</v>
      </c>
      <c r="AR46" s="60" t="n">
        <f aca="false">AR19-AR27+AR35+AR43</f>
        <v>938232896.433682</v>
      </c>
      <c r="AS46" s="60" t="n">
        <f aca="false">AS19-AS27+AS35+AS43</f>
        <v>2383629424.6874</v>
      </c>
      <c r="AT46" s="60" t="n">
        <f aca="false">AT19-AT27+AT35+AT43</f>
        <v>2860507791.90189</v>
      </c>
      <c r="AU46" s="60" t="n">
        <f aca="false">AU19-AU27+AU35+AU43</f>
        <v>2309766767.88017</v>
      </c>
      <c r="AV46" s="60" t="n">
        <f aca="false">AV19-AV27+AV35+AV43</f>
        <v>2885122570.4598</v>
      </c>
      <c r="AW46" s="60" t="n">
        <f aca="false">AW19-AW27+AW35+AW43</f>
        <v>2293300272.80271</v>
      </c>
      <c r="AX46" s="60" t="n">
        <f aca="false">AX19-AX27+AX35+AX43</f>
        <v>1570545365.8449</v>
      </c>
      <c r="AY46" s="60" t="n">
        <f aca="false">AY19-AY27+AY35+AY43</f>
        <v>7491233897.01145</v>
      </c>
      <c r="AZ46" s="60" t="n">
        <f aca="false">AZ19-AZ27+AZ35+AZ43</f>
        <v>5835741308.95065</v>
      </c>
      <c r="BA46" s="60" t="n">
        <f aca="false">BA19-BA27+BA35+BA43</f>
        <v>7780803708.74972</v>
      </c>
      <c r="BB46" s="60" t="n">
        <f aca="false">BB19-BB27+BB35+BB43</f>
        <v>5438746715.40848</v>
      </c>
      <c r="BC46" s="60" t="n">
        <f aca="false">BC19-BC27+BC35+BC43</f>
        <v>3457940031.85913</v>
      </c>
      <c r="BD46" s="60" t="n">
        <f aca="false">BD19-BD27+BD35+BD43</f>
        <v>1229030647.94785</v>
      </c>
      <c r="BE46" s="60" t="n">
        <f aca="false">BE19-BE27+BE35+BE43</f>
        <v>2682298983.66522</v>
      </c>
      <c r="BF46" s="60" t="n">
        <f aca="false">BF19-BF27+BF35+BF43</f>
        <v>3151796856.78464</v>
      </c>
      <c r="BG46" s="60" t="n">
        <f aca="false">BG19-BG27+BG35+BG43</f>
        <v>2593669112.39258</v>
      </c>
      <c r="BH46" s="60" t="n">
        <f aca="false">BH19-BH27+BH35+BH43</f>
        <v>3176890893.02666</v>
      </c>
      <c r="BI46" s="60" t="n">
        <f aca="false">BI19-BI27+BI35+BI43</f>
        <v>2577682308.62584</v>
      </c>
      <c r="BJ46" s="60" t="n">
        <f aca="false">BJ19-BJ27+BJ35+BJ43</f>
        <v>1884997153.54853</v>
      </c>
      <c r="BK46" s="60" t="n">
        <f aca="false">BK19-BK27+BK35+BK43</f>
        <v>7868428360.48276</v>
      </c>
      <c r="BL46" s="60" t="n">
        <f aca="false">BL19-BL27+BL35+BL43</f>
        <v>6133219003.48093</v>
      </c>
      <c r="BM46" s="60" t="n">
        <f aca="false">BM19-BM27+BM35+BM43</f>
        <v>8091484029.3159</v>
      </c>
      <c r="BN46" s="60" t="n">
        <f aca="false">BN19-BN27+BN35+BN43</f>
        <v>5741850277.71666</v>
      </c>
      <c r="BO46" s="60" t="n">
        <f aca="false">BO19-BO27+BO35+BO43</f>
        <v>3753460405.09894</v>
      </c>
      <c r="BP46" s="60" t="n">
        <f aca="false">BP19-BP27+BP35+BP43</f>
        <v>1532633061.73016</v>
      </c>
      <c r="BQ46" s="60" t="n">
        <f aca="false">BQ19-BQ27+BQ35+BQ43</f>
        <v>2993990232.34912</v>
      </c>
      <c r="BR46" s="60" t="n">
        <f aca="false">BR19-BR27+BR35+BR43</f>
        <v>3455912103.3709</v>
      </c>
      <c r="BS46" s="60" t="n">
        <f aca="false">BS19-BS27+BS35+BS43</f>
        <v>2890201969.84084</v>
      </c>
      <c r="BT46" s="60" t="n">
        <f aca="false">BT19-BT27+BT35+BT43</f>
        <v>3481506613.18432</v>
      </c>
      <c r="BU46" s="60" t="n">
        <f aca="false">BU19-BU27+BU35+BU43</f>
        <v>2874716089.96446</v>
      </c>
      <c r="BV46" s="60" t="n">
        <f aca="false">BV19-BV27+BV35+BV43</f>
        <v>2212577803.57194</v>
      </c>
      <c r="BW46" s="60" t="n">
        <f aca="false">BW19-BW27+BW35+BW43</f>
        <v>8259991215.28729</v>
      </c>
      <c r="BX46" s="60" t="n">
        <f aca="false">BX19-BX27+BX35+BX43</f>
        <v>6443403820.89676</v>
      </c>
      <c r="BY46" s="60" t="n">
        <f aca="false">BY19-BY27+BY35+BY43</f>
        <v>8415359960.51807</v>
      </c>
      <c r="BZ46" s="60" t="n">
        <f aca="false">BZ19-BZ27+BZ35+BZ43</f>
        <v>6057951326.82019</v>
      </c>
      <c r="CA46" s="60" t="n">
        <f aca="false">CA19-CA27+CA35+CA43</f>
        <v>4061779978.99117</v>
      </c>
      <c r="CB46" s="60" t="n">
        <f aca="false">CB19-CB27+CB35+CB43</f>
        <v>1849254460.46756</v>
      </c>
      <c r="CC46" s="60" t="n">
        <f aca="false">CC19-CC27+CC35+CC43</f>
        <v>3318920431.58383</v>
      </c>
      <c r="CD46" s="60" t="n">
        <f aca="false">CD19-CD27+CD35+CD43</f>
        <v>3773068214.19444</v>
      </c>
      <c r="CE46" s="60" t="n">
        <f aca="false">CE19-CE27+CE35+CE43</f>
        <v>3199577442.23658</v>
      </c>
      <c r="CF46" s="60" t="n">
        <f aca="false">CF19-CF27+CF35+CF43</f>
        <v>3799184769.12335</v>
      </c>
      <c r="CG46" s="60" t="n">
        <f aca="false">CG19-CG27+CG35+CG43</f>
        <v>3184614074.78187</v>
      </c>
      <c r="CH46" s="60" t="n">
        <f aca="false">CH19-CH27+CH35+CH43</f>
        <v>2553511578.146</v>
      </c>
      <c r="CI46" s="60" t="n">
        <f aca="false">CI19-CI27+CI35+CI43</f>
        <v>8666170643.67197</v>
      </c>
      <c r="CJ46" s="60" t="n">
        <f aca="false">CJ19-CJ27+CJ35+CJ43</f>
        <v>6766513995.52328</v>
      </c>
      <c r="CK46" s="60" t="n">
        <f aca="false">CK19-CK27+CK35+CK43</f>
        <v>8752654290.38705</v>
      </c>
      <c r="CL46" s="60" t="n">
        <f aca="false">CL19-CL27+CL35+CL43</f>
        <v>6387269995.45672</v>
      </c>
      <c r="CM46" s="60" t="n">
        <f aca="false">CM19-CM27+CM35+CM43</f>
        <v>4383116228.71055</v>
      </c>
      <c r="CN46" s="60" t="n">
        <f aca="false">CN19-CN27+CN35+CN43</f>
        <v>2179115341.56809</v>
      </c>
      <c r="CO46" s="60" t="n">
        <f aca="false">CO19-CO27+CO35+CO43</f>
        <v>3657313103.55915</v>
      </c>
      <c r="CP46" s="60" t="n">
        <f aca="false">CP19-CP27+CP35+CP43</f>
        <v>4103486056.72312</v>
      </c>
      <c r="CQ46" s="60" t="n">
        <f aca="false">CQ19-CQ27+CQ35+CQ43</f>
        <v>3522013740.0767</v>
      </c>
      <c r="CR46" s="60" t="n">
        <f aca="false">CR19-CR27+CR35+CR43</f>
        <v>4130146594.17657</v>
      </c>
      <c r="CS46" s="60" t="n">
        <f aca="false">CS19-CS27+CS35+CS43</f>
        <v>3507594839.76152</v>
      </c>
      <c r="CT46" s="60" t="n">
        <f aca="false">CT19-CT27+CT35+CT43</f>
        <v>2908029034.51076</v>
      </c>
    </row>
    <row r="47" customFormat="false" ht="15" hidden="false" customHeight="true" outlineLevel="0" collapsed="false">
      <c r="B47" s="19" t="s">
        <v>622</v>
      </c>
      <c r="C47" s="57" t="n">
        <f aca="false">C11+C46-C48-C36</f>
        <v>15124155196.3779</v>
      </c>
      <c r="D47" s="57" t="n">
        <f aca="false">D11+D46-D48-D36</f>
        <v>16692323182.5757</v>
      </c>
      <c r="E47" s="57" t="n">
        <f aca="false">E11+E46-E48-E36</f>
        <v>23372109026.2879</v>
      </c>
      <c r="F47" s="57" t="n">
        <f aca="false">F11+F46-F48-F36</f>
        <v>27641055243.2601</v>
      </c>
      <c r="G47" s="57" t="n">
        <f aca="false">G11+G46-G48-G36</f>
        <v>26190705191.9098</v>
      </c>
      <c r="H47" s="57" t="n">
        <f aca="false">H11+H46-H48-H36</f>
        <v>25169811648.0937</v>
      </c>
      <c r="I47" s="57" t="n">
        <f aca="false">I11+I46-I48-I36</f>
        <v>27612137241.0278</v>
      </c>
      <c r="J47" s="57" t="n">
        <f aca="false">J11+J46-J48-J36</f>
        <v>25785138704.4621</v>
      </c>
      <c r="K47" s="57" t="n">
        <f aca="false">K11+K46-K48-K36</f>
        <v>27184559958.4501</v>
      </c>
      <c r="L47" s="57" t="n">
        <f aca="false">L11+L46-L48-L36</f>
        <v>29120095069.5361</v>
      </c>
      <c r="M47" s="57" t="n">
        <f aca="false">M11+M46-M48-M36</f>
        <v>26746245030.7533</v>
      </c>
      <c r="N47" s="57" t="n">
        <f aca="false">N11+N46-N48-N36</f>
        <v>26261564006.6193</v>
      </c>
      <c r="O47" s="57" t="n">
        <f aca="false">O11+O46-O48-O36</f>
        <v>33858225337.2506</v>
      </c>
      <c r="P47" s="57" t="n">
        <f aca="false">P11+P46-P48-P36</f>
        <v>35111612716.6818</v>
      </c>
      <c r="Q47" s="57" t="n">
        <f aca="false">Q11+Q46-Q48-Q36</f>
        <v>41972526145.2121</v>
      </c>
      <c r="R47" s="57" t="n">
        <f aca="false">R11+R46-R48-R36</f>
        <v>46497531471.9445</v>
      </c>
      <c r="S47" s="57" t="n">
        <f aca="false">S11+S46-S48-S36</f>
        <v>45334116816.3211</v>
      </c>
      <c r="T47" s="57" t="n">
        <f aca="false">T11+T46-T48-T36</f>
        <v>44636018019.8055</v>
      </c>
      <c r="U47" s="57" t="n">
        <f aca="false">U11+U46-U48-U36</f>
        <v>47425944864.3036</v>
      </c>
      <c r="V47" s="57" t="n">
        <f aca="false">V11+V46-V48-V36</f>
        <v>45938817214.2757</v>
      </c>
      <c r="W47" s="57" t="n">
        <f aca="false">W11+W46-W48-W36</f>
        <v>47667655174.9034</v>
      </c>
      <c r="X47" s="57" t="n">
        <f aca="false">X11+X46-X48-X36</f>
        <v>49947801590.7893</v>
      </c>
      <c r="Y47" s="57" t="n">
        <f aca="false">Y11+Y46-Y48-Y36</f>
        <v>51656021287.9564</v>
      </c>
      <c r="Z47" s="57" t="n">
        <f aca="false">Z11+Z46-Z48-Z36</f>
        <v>51554786100.9616</v>
      </c>
      <c r="AA47" s="57" t="n">
        <f aca="false">AA11+AA46-AA48-AA36</f>
        <v>59579256738.477</v>
      </c>
      <c r="AB47" s="57" t="n">
        <f aca="false">AB11+AB46-AB48-AB36</f>
        <v>64929778129.085</v>
      </c>
      <c r="AC47" s="57" t="n">
        <f aca="false">AC11+AC46-AC48-AC36</f>
        <v>72157428283.1096</v>
      </c>
      <c r="AD47" s="57" t="n">
        <f aca="false">AD11+AD46-AD48-AD36</f>
        <v>77039931201.8403</v>
      </c>
      <c r="AE47" s="57" t="n">
        <f aca="false">AE11+AE46-AE48-AE36</f>
        <v>79974841949.577</v>
      </c>
      <c r="AF47" s="57" t="n">
        <f aca="false">AF11+AF46-AF48-AF36</f>
        <v>79637953547.5545</v>
      </c>
      <c r="AG47" s="57" t="n">
        <f aca="false">AG11+AG46-AG48-AG36</f>
        <v>82798824384.771</v>
      </c>
      <c r="AH47" s="57" t="n">
        <f aca="false">AH11+AH46-AH48-AH36</f>
        <v>85423461370.6243</v>
      </c>
      <c r="AI47" s="57" t="n">
        <f aca="false">AI11+AI46-AI48-AI36</f>
        <v>87508048469.6662</v>
      </c>
      <c r="AJ47" s="57" t="n">
        <f aca="false">AJ11+AJ46-AJ48-AJ36</f>
        <v>90153724269.1958</v>
      </c>
      <c r="AK47" s="57" t="n">
        <f aca="false">AK11+AK46-AK48-AK36</f>
        <v>92218315080.0207</v>
      </c>
      <c r="AL47" s="57" t="n">
        <f aca="false">AL11+AL46-AL48-AL36</f>
        <v>92509052042.0829</v>
      </c>
      <c r="AM47" s="57" t="n">
        <f aca="false">AM11+AM46-AM48-AM36</f>
        <v>100742525612.701</v>
      </c>
      <c r="AN47" s="57" t="n">
        <f aca="false">AN11+AN46-AN48-AN36</f>
        <v>106324456047.896</v>
      </c>
      <c r="AO47" s="57" t="n">
        <f aca="false">AO11+AO46-AO48-AO36</f>
        <v>113796188794.789</v>
      </c>
      <c r="AP47" s="57" t="n">
        <f aca="false">AP11+AP46-AP48-AP36</f>
        <v>118915300373.629</v>
      </c>
      <c r="AQ47" s="57" t="n">
        <f aca="false">AQ11+AQ46-AQ48-AQ36</f>
        <v>122079418416.736</v>
      </c>
      <c r="AR47" s="57" t="n">
        <f aca="false">AR11+AR46-AR48-AR36</f>
        <v>121979521032.846</v>
      </c>
      <c r="AS47" s="57" t="n">
        <f aca="false">AS11+AS46-AS48-AS36</f>
        <v>125385136610.212</v>
      </c>
      <c r="AT47" s="57" t="n">
        <f aca="false">AT11+AT46-AT48-AT36</f>
        <v>128247108418.924</v>
      </c>
      <c r="AU47" s="57" t="n">
        <f aca="false">AU11+AU46-AU48-AU36</f>
        <v>130561661313.061</v>
      </c>
      <c r="AV47" s="57" t="n">
        <f aca="false">AV11+AV46-AV48-AV36</f>
        <v>133445103128.449</v>
      </c>
      <c r="AW47" s="57" t="n">
        <f aca="false">AW11+AW46-AW48-AW36</f>
        <v>135740070398.787</v>
      </c>
      <c r="AX47" s="57" t="n">
        <f aca="false">AX11+AX46-AX48-AX36</f>
        <v>136290901878.281</v>
      </c>
      <c r="AY47" s="57" t="n">
        <f aca="false">AY11+AY46-AY48-AY36</f>
        <v>144841965938.762</v>
      </c>
      <c r="AZ47" s="57" t="n">
        <f aca="false">AZ11+AZ46-AZ48-AZ36</f>
        <v>150708764390.939</v>
      </c>
      <c r="BA47" s="57" t="n">
        <f aca="false">BA11+BA46-BA48-BA36</f>
        <v>158478377267.954</v>
      </c>
      <c r="BB47" s="57" t="n">
        <f aca="false">BB11+BB46-BB48-BB36</f>
        <v>163887843641.461</v>
      </c>
      <c r="BC47" s="57" t="n">
        <f aca="false">BC11+BC46-BC48-BC36</f>
        <v>167334856934.126</v>
      </c>
      <c r="BD47" s="57" t="n">
        <f aca="false">BD11+BD46-BD48-BD36</f>
        <v>167525793332.48</v>
      </c>
      <c r="BE47" s="57" t="n">
        <f aca="false">BE11+BE46-BE48-BE36</f>
        <v>171230151169.886</v>
      </c>
      <c r="BF47" s="57" t="n">
        <f aca="false">BF11+BF46-BF48-BF36</f>
        <v>174383393708.314</v>
      </c>
      <c r="BG47" s="57" t="n">
        <f aca="false">BG11+BG46-BG48-BG36</f>
        <v>176981785093.682</v>
      </c>
      <c r="BH47" s="57" t="n">
        <f aca="false">BH11+BH46-BH48-BH36</f>
        <v>180157017990.695</v>
      </c>
      <c r="BI47" s="57" t="n">
        <f aca="false">BI11+BI46-BI48-BI36</f>
        <v>182736323990.687</v>
      </c>
      <c r="BJ47" s="57" t="n">
        <f aca="false">BJ11+BJ46-BJ48-BJ36</f>
        <v>183601432475.869</v>
      </c>
      <c r="BK47" s="57" t="n">
        <f aca="false">BK11+BK46-BK48-BK36</f>
        <v>192529553986.391</v>
      </c>
      <c r="BL47" s="57" t="n">
        <f aca="false">BL11+BL46-BL48-BL36</f>
        <v>198693717837.588</v>
      </c>
      <c r="BM47" s="57" t="n">
        <f aca="false">BM11+BM46-BM48-BM36</f>
        <v>206774185219.587</v>
      </c>
      <c r="BN47" s="57" t="n">
        <f aca="false">BN11+BN46-BN48-BN36</f>
        <v>212486789125.649</v>
      </c>
      <c r="BO47" s="57" t="n">
        <f aca="false">BO11+BO46-BO48-BO36</f>
        <v>216229286654.715</v>
      </c>
      <c r="BP47" s="57" t="n">
        <f aca="false">BP11+BP46-BP48-BP36</f>
        <v>216723860520.393</v>
      </c>
      <c r="BQ47" s="57" t="n">
        <f aca="false">BQ11+BQ46-BQ48-BQ36</f>
        <v>220739980255.218</v>
      </c>
      <c r="BR47" s="57" t="n">
        <f aca="false">BR11+BR46-BR48-BR36</f>
        <v>224197320242.636</v>
      </c>
      <c r="BS47" s="57" t="n">
        <f aca="false">BS11+BS46-BS48-BS36</f>
        <v>227092182464.692</v>
      </c>
      <c r="BT47" s="57" t="n">
        <f aca="false">BT11+BT46-BT48-BT36</f>
        <v>230572053193.445</v>
      </c>
      <c r="BU47" s="57" t="n">
        <f aca="false">BU11+BU46-BU48-BU36</f>
        <v>233448350908.605</v>
      </c>
      <c r="BV47" s="57" t="n">
        <f aca="false">BV11+BV46-BV48-BV36</f>
        <v>234640868155.991</v>
      </c>
      <c r="BW47" s="57" t="n">
        <f aca="false">BW11+BW46-BW48-BW36</f>
        <v>243960415520.979</v>
      </c>
      <c r="BX47" s="57" t="n">
        <f aca="false">BX11+BX46-BX48-BX36</f>
        <v>250434656191.445</v>
      </c>
      <c r="BY47" s="57" t="n">
        <f aca="false">BY11+BY46-BY48-BY36</f>
        <v>258839170039.826</v>
      </c>
      <c r="BZ47" s="57" t="n">
        <f aca="false">BZ11+BZ46-BZ48-BZ36</f>
        <v>264867908677.089</v>
      </c>
      <c r="CA47" s="57" t="n">
        <f aca="false">CA11+CA46-CA48-CA36</f>
        <v>268918691035.605</v>
      </c>
      <c r="CB47" s="57" t="n">
        <f aca="false">CB11+CB46-CB48-CB36</f>
        <v>269729920513.291</v>
      </c>
      <c r="CC47" s="57" t="n">
        <f aca="false">CC11+CC46-CC48-CC36</f>
        <v>274071039139.477</v>
      </c>
      <c r="CD47" s="57" t="n">
        <f aca="false">CD11+CD46-CD48-CD36</f>
        <v>277845517998.291</v>
      </c>
      <c r="CE47" s="57" t="n">
        <f aca="false">CE11+CE46-CE48-CE36</f>
        <v>281049695487.537</v>
      </c>
      <c r="CF47" s="57" t="n">
        <f aca="false">CF11+CF46-CF48-CF36</f>
        <v>284847265855.118</v>
      </c>
      <c r="CG47" s="57" t="n">
        <f aca="false">CG11+CG46-CG48-CG36</f>
        <v>288033420711.048</v>
      </c>
      <c r="CH47" s="57" t="n">
        <f aca="false">CH11+CH46-CH48-CH36</f>
        <v>289566702659.284</v>
      </c>
      <c r="CI47" s="57" t="n">
        <f aca="false">CI11+CI46-CI48-CI36</f>
        <v>299292292407.634</v>
      </c>
      <c r="CJ47" s="57" t="n">
        <f aca="false">CJ11+CJ46-CJ48-CJ36</f>
        <v>306089539493.749</v>
      </c>
      <c r="CK47" s="57" t="n">
        <f aca="false">CK11+CK46-CK48-CK36</f>
        <v>314831514641.739</v>
      </c>
      <c r="CL47" s="57" t="n">
        <f aca="false">CL11+CL46-CL48-CL36</f>
        <v>321189605356.961</v>
      </c>
      <c r="CM47" s="57" t="n">
        <f aca="false">CM11+CM46-CM48-CM36</f>
        <v>325561690594.309</v>
      </c>
      <c r="CN47" s="57" t="n">
        <f aca="false">CN11+CN46-CN48-CN36</f>
        <v>326702814343.2</v>
      </c>
      <c r="CO47" s="57" t="n">
        <f aca="false">CO11+CO46-CO48-CO36</f>
        <v>331382392411.961</v>
      </c>
      <c r="CP47" s="57" t="n">
        <f aca="false">CP11+CP46-CP48-CP36</f>
        <v>335487272423.056</v>
      </c>
      <c r="CQ47" s="57" t="n">
        <f aca="false">CQ11+CQ46-CQ48-CQ36</f>
        <v>339013827789.471</v>
      </c>
      <c r="CR47" s="57" t="n">
        <f aca="false">CR11+CR46-CR48-CR36</f>
        <v>343142380847.317</v>
      </c>
      <c r="CS47" s="57" t="n">
        <f aca="false">CS11+CS46-CS48-CS36</f>
        <v>346651476825.284</v>
      </c>
      <c r="CT47" s="57" t="n">
        <f aca="false">CT11+CT46-CT48-CT36</f>
        <v>348539109889.726</v>
      </c>
    </row>
    <row r="48" customFormat="false" ht="15" hidden="false" customHeight="true" outlineLevel="0" collapsed="false">
      <c r="B48" s="19" t="s">
        <v>623</v>
      </c>
      <c r="C48" s="57" t="n">
        <f aca="false">C9*0.5+(C15+C17+C18*Supuestos!$C$116/(Supuestos!$C$116+Supuestos!$C$117)*(1-Supuestos!$C$76))*0.5</f>
        <v>1393719812.80083</v>
      </c>
      <c r="D48" s="57" t="n">
        <f aca="false">D9*0.5+(D15+D17+D18*Supuestos!$C$116/(Supuestos!$C$116+Supuestos!$C$117)*(1-Supuestos!$C$76))*0.5</f>
        <v>1029153949.20598</v>
      </c>
      <c r="E48" s="57" t="n">
        <f aca="false">E9*0.5+(E15+E17+E18*Supuestos!$C$116/(Supuestos!$C$116+Supuestos!$C$117)*(1-Supuestos!$C$76))*0.5</f>
        <v>862954322.061414</v>
      </c>
      <c r="F48" s="57" t="n">
        <f aca="false">F9*0.5+(F15+F17+F18*Supuestos!$C$116/(Supuestos!$C$116+Supuestos!$C$117)*(1-Supuestos!$C$76))*0.5</f>
        <v>775635103.324929</v>
      </c>
      <c r="G48" s="57" t="n">
        <f aca="false">G9*0.5+(G15+G17+G18*Supuestos!$C$116/(Supuestos!$C$116+Supuestos!$C$117)*(1-Supuestos!$C$76))*0.5</f>
        <v>727775789.140393</v>
      </c>
      <c r="H48" s="57" t="n">
        <f aca="false">H9*0.5+(H15+H17+H18*Supuestos!$C$116/(Supuestos!$C$116+Supuestos!$C$117)*(1-Supuestos!$C$76))*0.5</f>
        <v>708085237.560237</v>
      </c>
      <c r="I48" s="57" t="n">
        <f aca="false">I9*0.5+(I15+I17+I18*Supuestos!$C$116/(Supuestos!$C$116+Supuestos!$C$117)*(1-Supuestos!$C$76))*0.5</f>
        <v>702439666.586453</v>
      </c>
      <c r="J48" s="57" t="n">
        <f aca="false">J9*0.5+(J15+J17+J18*Supuestos!$C$116/(Supuestos!$C$116+Supuestos!$C$117)*(1-Supuestos!$C$76))*0.5</f>
        <v>695397475.935357</v>
      </c>
      <c r="K48" s="57" t="n">
        <f aca="false">K9*0.5+(K15+K17+K18*Supuestos!$C$116/(Supuestos!$C$116+Supuestos!$C$117)*(1-Supuestos!$C$76))*0.5</f>
        <v>687656975.445607</v>
      </c>
      <c r="L48" s="57" t="n">
        <f aca="false">L9*0.5+(L15+L17+L18*Supuestos!$C$116/(Supuestos!$C$116+Supuestos!$C$117)*(1-Supuestos!$C$76))*0.5</f>
        <v>688025830.712843</v>
      </c>
      <c r="M48" s="57" t="n">
        <f aca="false">M9*0.5+(M15+M17+M18*Supuestos!$C$116/(Supuestos!$C$116+Supuestos!$C$117)*(1-Supuestos!$C$76))*0.5</f>
        <v>683990853.182259</v>
      </c>
      <c r="N48" s="57" t="n">
        <f aca="false">N9*0.5+(N15+N17+N18*Supuestos!$C$116/(Supuestos!$C$116+Supuestos!$C$117)*(1-Supuestos!$C$76))*0.5</f>
        <v>675628696.011932</v>
      </c>
      <c r="O48" s="57" t="n">
        <f aca="false">O9*0.5+(O15+O17+O18*Supuestos!$C$116/(Supuestos!$C$116+Supuestos!$C$117)*(1-Supuestos!$C$76))*0.5</f>
        <v>676616552.997399</v>
      </c>
      <c r="P48" s="57" t="n">
        <f aca="false">P9*0.5+(P15+P17+P18*Supuestos!$C$116/(Supuestos!$C$116+Supuestos!$C$117)*(1-Supuestos!$C$76))*0.5</f>
        <v>665689849.491713</v>
      </c>
      <c r="Q48" s="57" t="n">
        <f aca="false">Q9*0.5+(Q15+Q17+Q18*Supuestos!$C$116/(Supuestos!$C$116+Supuestos!$C$117)*(1-Supuestos!$C$76))*0.5</f>
        <v>676067569.248445</v>
      </c>
      <c r="R48" s="57" t="n">
        <f aca="false">R9*0.5+(R15+R17+R18*Supuestos!$C$116/(Supuestos!$C$116+Supuestos!$C$117)*(1-Supuestos!$C$76))*0.5</f>
        <v>677090333.587505</v>
      </c>
      <c r="S48" s="57" t="n">
        <f aca="false">S9*0.5+(S15+S17+S18*Supuestos!$C$116/(Supuestos!$C$116+Supuestos!$C$117)*(1-Supuestos!$C$76))*0.5</f>
        <v>673455320.56564</v>
      </c>
      <c r="T48" s="57" t="n">
        <f aca="false">T9*0.5+(T15+T17+T18*Supuestos!$C$116/(Supuestos!$C$116+Supuestos!$C$117)*(1-Supuestos!$C$76))*0.5</f>
        <v>675823609.941921</v>
      </c>
      <c r="U48" s="57" t="n">
        <f aca="false">U9*0.5+(U15+U17+U18*Supuestos!$C$116/(Supuestos!$C$116+Supuestos!$C$117)*(1-Supuestos!$C$76))*0.5</f>
        <v>681154149.821457</v>
      </c>
      <c r="V48" s="57" t="n">
        <f aca="false">V9*0.5+(V15+V17+V18*Supuestos!$C$116/(Supuestos!$C$116+Supuestos!$C$117)*(1-Supuestos!$C$76))*0.5</f>
        <v>679653324.221921</v>
      </c>
      <c r="W48" s="57" t="n">
        <f aca="false">W9*0.5+(W15+W17+W18*Supuestos!$C$116/(Supuestos!$C$116+Supuestos!$C$117)*(1-Supuestos!$C$76))*0.5</f>
        <v>674736815.882847</v>
      </c>
      <c r="X48" s="57" t="n">
        <f aca="false">X9*0.5+(X15+X17+X18*Supuestos!$C$116/(Supuestos!$C$116+Supuestos!$C$117)*(1-Supuestos!$C$76))*0.5</f>
        <v>676464357.600524</v>
      </c>
      <c r="Y48" s="57" t="n">
        <f aca="false">Y9*0.5+(Y15+Y17+Y18*Supuestos!$C$116/(Supuestos!$C$116+Supuestos!$C$117)*(1-Supuestos!$C$76))*0.5</f>
        <v>673162032.920058</v>
      </c>
      <c r="Z48" s="57" t="n">
        <f aca="false">Z9*0.5+(Z15+Z17+Z18*Supuestos!$C$116/(Supuestos!$C$116+Supuestos!$C$117)*(1-Supuestos!$C$76))*0.5</f>
        <v>665345308.033831</v>
      </c>
      <c r="AA48" s="57" t="n">
        <f aca="false">AA9*0.5+(AA15+AA17+AA18*Supuestos!$C$116/(Supuestos!$C$116+Supuestos!$C$117)*(1-Supuestos!$C$76))*0.5</f>
        <v>666486269.919434</v>
      </c>
      <c r="AB48" s="57" t="n">
        <f aca="false">AB9*0.5+(AB15+AB17+AB18*Supuestos!$C$116/(Supuestos!$C$116+Supuestos!$C$117)*(1-Supuestos!$C$76))*0.5</f>
        <v>655674016.42869</v>
      </c>
      <c r="AC48" s="57" t="n">
        <f aca="false">AC9*0.5+(AC15+AC17+AC18*Supuestos!$C$116/(Supuestos!$C$116+Supuestos!$C$117)*(1-Supuestos!$C$76))*0.5</f>
        <v>665864742.511999</v>
      </c>
      <c r="AD48" s="57" t="n">
        <f aca="false">AD9*0.5+(AD15+AD17+AD18*Supuestos!$C$116/(Supuestos!$C$116+Supuestos!$C$117)*(1-Supuestos!$C$76))*0.5</f>
        <v>666849801.448598</v>
      </c>
      <c r="AE48" s="57" t="n">
        <f aca="false">AE9*0.5+(AE15+AE17+AE18*Supuestos!$C$116/(Supuestos!$C$116+Supuestos!$C$117)*(1-Supuestos!$C$76))*0.5</f>
        <v>663251727.159751</v>
      </c>
      <c r="AF48" s="57" t="n">
        <f aca="false">AF9*0.5+(AF15+AF17+AF18*Supuestos!$C$116/(Supuestos!$C$116+Supuestos!$C$117)*(1-Supuestos!$C$76))*0.5</f>
        <v>665582694.468292</v>
      </c>
      <c r="AG48" s="57" t="n">
        <f aca="false">AG9*0.5+(AG15+AG17+AG18*Supuestos!$C$116/(Supuestos!$C$116+Supuestos!$C$117)*(1-Supuestos!$C$76))*0.5</f>
        <v>670838781.879709</v>
      </c>
      <c r="AH48" s="57" t="n">
        <f aca="false">AH9*0.5+(AH15+AH17+AH18*Supuestos!$C$116/(Supuestos!$C$116+Supuestos!$C$117)*(1-Supuestos!$C$76))*0.5</f>
        <v>669356521.480362</v>
      </c>
      <c r="AI48" s="57" t="n">
        <f aca="false">AI9*0.5+(AI15+AI17+AI18*Supuestos!$C$116/(Supuestos!$C$116+Supuestos!$C$117)*(1-Supuestos!$C$76))*0.5</f>
        <v>664505087.175633</v>
      </c>
      <c r="AJ48" s="57" t="n">
        <f aca="false">AJ9*0.5+(AJ15+AJ17+AJ18*Supuestos!$C$116/(Supuestos!$C$116+Supuestos!$C$117)*(1-Supuestos!$C$76))*0.5</f>
        <v>666209374.476233</v>
      </c>
      <c r="AK48" s="57" t="n">
        <f aca="false">AK9*0.5+(AK15+AK17+AK18*Supuestos!$C$116/(Supuestos!$C$116+Supuestos!$C$117)*(1-Supuestos!$C$76))*0.5</f>
        <v>662951214.021478</v>
      </c>
      <c r="AL48" s="57" t="n">
        <f aca="false">AL9*0.5+(AL15+AL17+AL18*Supuestos!$C$116/(Supuestos!$C$116+Supuestos!$C$117)*(1-Supuestos!$C$76))*0.5</f>
        <v>655320786.476339</v>
      </c>
      <c r="AM48" s="57" t="n">
        <f aca="false">AM9*0.5+(AM15+AM17+AM18*Supuestos!$C$116/(Supuestos!$C$116+Supuestos!$C$117)*(1-Supuestos!$C$76))*0.5</f>
        <v>656515589.513478</v>
      </c>
      <c r="AN48" s="57" t="n">
        <f aca="false">AN9*0.5+(AN15+AN17+AN18*Supuestos!$C$116/(Supuestos!$C$116+Supuestos!$C$117)*(1-Supuestos!$C$76))*0.5</f>
        <v>645781901.924526</v>
      </c>
      <c r="AO48" s="57" t="n">
        <f aca="false">AO9*0.5+(AO15+AO17+AO18*Supuestos!$C$116/(Supuestos!$C$116+Supuestos!$C$117)*(1-Supuestos!$C$76))*0.5</f>
        <v>655769815.321921</v>
      </c>
      <c r="AP48" s="57" t="n">
        <f aca="false">AP9*0.5+(AP15+AP17+AP18*Supuestos!$C$116/(Supuestos!$C$116+Supuestos!$C$117)*(1-Supuestos!$C$76))*0.5</f>
        <v>656709654.168992</v>
      </c>
      <c r="AQ48" s="57" t="n">
        <f aca="false">AQ9*0.5+(AQ15+AQ17+AQ18*Supuestos!$C$116/(Supuestos!$C$116+Supuestos!$C$117)*(1-Supuestos!$C$76))*0.5</f>
        <v>653145156.08881</v>
      </c>
      <c r="AR48" s="57" t="n">
        <f aca="false">AR9*0.5+(AR15+AR17+AR18*Supuestos!$C$116/(Supuestos!$C$116+Supuestos!$C$117)*(1-Supuestos!$C$76))*0.5</f>
        <v>655436725.248255</v>
      </c>
      <c r="AS48" s="57" t="n">
        <f aca="false">AS9*0.5+(AS15+AS17+AS18*Supuestos!$C$116/(Supuestos!$C$116+Supuestos!$C$117)*(1-Supuestos!$C$76))*0.5</f>
        <v>660616927.331694</v>
      </c>
      <c r="AT48" s="57" t="n">
        <f aca="false">AT9*0.5+(AT15+AT17+AT18*Supuestos!$C$116/(Supuestos!$C$116+Supuestos!$C$117)*(1-Supuestos!$C$76))*0.5</f>
        <v>659152910.521788</v>
      </c>
      <c r="AU48" s="57" t="n">
        <f aca="false">AU9*0.5+(AU15+AU17+AU18*Supuestos!$C$116/(Supuestos!$C$116+Supuestos!$C$117)*(1-Supuestos!$C$76))*0.5</f>
        <v>654366784.265208</v>
      </c>
      <c r="AV48" s="57" t="n">
        <f aca="false">AV9*0.5+(AV15+AV17+AV18*Supuestos!$C$116/(Supuestos!$C$116+Supuestos!$C$117)*(1-Supuestos!$C$76))*0.5</f>
        <v>656047539.336453</v>
      </c>
      <c r="AW48" s="57" t="n">
        <f aca="false">AW9*0.5+(AW15+AW17+AW18*Supuestos!$C$116/(Supuestos!$C$116+Supuestos!$C$117)*(1-Supuestos!$C$76))*0.5</f>
        <v>652833799.02045</v>
      </c>
      <c r="AX48" s="57" t="n">
        <f aca="false">AX9*0.5+(AX15+AX17+AX18*Supuestos!$C$116/(Supuestos!$C$116+Supuestos!$C$117)*(1-Supuestos!$C$76))*0.5</f>
        <v>645381330.609282</v>
      </c>
      <c r="AY48" s="57" t="n">
        <f aca="false">AY9*0.5+(AY15+AY17+AY18*Supuestos!$C$116/(Supuestos!$C$116+Supuestos!$C$117)*(1-Supuestos!$C$76))*0.5</f>
        <v>646709397.412173</v>
      </c>
      <c r="AZ48" s="57" t="n">
        <f aca="false">AZ9*0.5+(AZ15+AZ17+AZ18*Supuestos!$C$116/(Supuestos!$C$116+Supuestos!$C$117)*(1-Supuestos!$C$76))*0.5</f>
        <v>636090452.552196</v>
      </c>
      <c r="BA48" s="57" t="n">
        <f aca="false">BA9*0.5+(BA15+BA17+BA18*Supuestos!$C$116/(Supuestos!$C$116+Supuestos!$C$117)*(1-Supuestos!$C$76))*0.5</f>
        <v>645899491.508246</v>
      </c>
      <c r="BB48" s="57" t="n">
        <f aca="false">BB9*0.5+(BB15+BB17+BB18*Supuestos!$C$116/(Supuestos!$C$116+Supuestos!$C$117)*(1-Supuestos!$C$76))*0.5</f>
        <v>646804578.832551</v>
      </c>
      <c r="BC48" s="57" t="n">
        <f aca="false">BC9*0.5+(BC15+BC17+BC18*Supuestos!$C$116/(Supuestos!$C$116+Supuestos!$C$117)*(1-Supuestos!$C$76))*0.5</f>
        <v>643277390.688893</v>
      </c>
      <c r="BD48" s="57" t="n">
        <f aca="false">BD9*0.5+(BD15+BD17+BD18*Supuestos!$C$116/(Supuestos!$C$116+Supuestos!$C$117)*(1-Supuestos!$C$76))*0.5</f>
        <v>645532929.118693</v>
      </c>
      <c r="BE48" s="57" t="n">
        <f aca="false">BE9*0.5+(BE15+BE17+BE18*Supuestos!$C$116/(Supuestos!$C$116+Supuestos!$C$117)*(1-Supuestos!$C$76))*0.5</f>
        <v>650640430.139403</v>
      </c>
      <c r="BF48" s="57" t="n">
        <f aca="false">BF9*0.5+(BF15+BF17+BF18*Supuestos!$C$116/(Supuestos!$C$116+Supuestos!$C$117)*(1-Supuestos!$C$76))*0.5</f>
        <v>649194748.496039</v>
      </c>
      <c r="BG48" s="57" t="n">
        <f aca="false">BG9*0.5+(BG15+BG17+BG18*Supuestos!$C$116/(Supuestos!$C$116+Supuestos!$C$117)*(1-Supuestos!$C$76))*0.5</f>
        <v>644472475.520637</v>
      </c>
      <c r="BH48" s="57" t="n">
        <f aca="false">BH9*0.5+(BH15+BH17+BH18*Supuestos!$C$116/(Supuestos!$C$116+Supuestos!$C$117)*(1-Supuestos!$C$76))*0.5</f>
        <v>646130471.534565</v>
      </c>
      <c r="BI48" s="57" t="n">
        <f aca="false">BI9*0.5+(BI15+BI17+BI18*Supuestos!$C$116/(Supuestos!$C$116+Supuestos!$C$117)*(1-Supuestos!$C$76))*0.5</f>
        <v>642960037.387809</v>
      </c>
      <c r="BJ48" s="57" t="n">
        <f aca="false">BJ9*0.5+(BJ15+BJ17+BJ18*Supuestos!$C$116/(Supuestos!$C$116+Supuestos!$C$117)*(1-Supuestos!$C$76))*0.5</f>
        <v>635682350.992592</v>
      </c>
      <c r="BK48" s="57" t="n">
        <f aca="false">BK9*0.5+(BK15+BK17+BK18*Supuestos!$C$116/(Supuestos!$C$116+Supuestos!$C$117)*(1-Supuestos!$C$76))*0.5</f>
        <v>637147431.225915</v>
      </c>
      <c r="BL48" s="57" t="n">
        <f aca="false">BL9*0.5+(BL15+BL17+BL18*Supuestos!$C$116/(Supuestos!$C$116+Supuestos!$C$117)*(1-Supuestos!$C$76))*0.5</f>
        <v>626640781.875712</v>
      </c>
      <c r="BM48" s="57" t="n">
        <f aca="false">BM9*0.5+(BM15+BM17+BM18*Supuestos!$C$116/(Supuestos!$C$116+Supuestos!$C$117)*(1-Supuestos!$C$76))*0.5</f>
        <v>636275636.413681</v>
      </c>
      <c r="BN48" s="57" t="n">
        <f aca="false">BN9*0.5+(BN15+BN17+BN18*Supuestos!$C$116/(Supuestos!$C$116+Supuestos!$C$117)*(1-Supuestos!$C$76))*0.5</f>
        <v>637146753.491442</v>
      </c>
      <c r="BO48" s="57" t="n">
        <f aca="false">BO9*0.5+(BO15+BO17+BO18*Supuestos!$C$116/(Supuestos!$C$116+Supuestos!$C$117)*(1-Supuestos!$C$76))*0.5</f>
        <v>633655702.187009</v>
      </c>
      <c r="BP48" s="57" t="n">
        <f aca="false">BP9*0.5+(BP15+BP17+BP18*Supuestos!$C$116/(Supuestos!$C$116+Supuestos!$C$117)*(1-Supuestos!$C$76))*0.5</f>
        <v>635876187.073924</v>
      </c>
      <c r="BQ48" s="57" t="n">
        <f aca="false">BQ9*0.5+(BQ15+BQ17+BQ18*Supuestos!$C$116/(Supuestos!$C$116+Supuestos!$C$117)*(1-Supuestos!$C$76))*0.5</f>
        <v>640913039.360696</v>
      </c>
      <c r="BR48" s="57" t="n">
        <f aca="false">BR9*0.5+(BR15+BR17+BR18*Supuestos!$C$116/(Supuestos!$C$116+Supuestos!$C$117)*(1-Supuestos!$C$76))*0.5</f>
        <v>639485155.312859</v>
      </c>
      <c r="BS48" s="57" t="n">
        <f aca="false">BS9*0.5+(BS15+BS17+BS18*Supuestos!$C$116/(Supuestos!$C$116+Supuestos!$C$117)*(1-Supuestos!$C$76))*0.5</f>
        <v>634824903.097717</v>
      </c>
      <c r="BT48" s="57" t="n">
        <f aca="false">BT9*0.5+(BT15+BT17+BT18*Supuestos!$C$116/(Supuestos!$C$116+Supuestos!$C$117)*(1-Supuestos!$C$76))*0.5</f>
        <v>636460787.529278</v>
      </c>
      <c r="BU48" s="57" t="n">
        <f aca="false">BU9*0.5+(BU15+BU17+BU18*Supuestos!$C$116/(Supuestos!$C$116+Supuestos!$C$117)*(1-Supuestos!$C$76))*0.5</f>
        <v>633332419.553836</v>
      </c>
      <c r="BV48" s="57" t="n">
        <f aca="false">BV9*0.5+(BV15+BV17+BV18*Supuestos!$C$116/(Supuestos!$C$116+Supuestos!$C$117)*(1-Supuestos!$C$76))*0.5</f>
        <v>626226620.976723</v>
      </c>
      <c r="BW48" s="57" t="n">
        <f aca="false">BW9*0.5+(BW15+BW17+BW18*Supuestos!$C$116/(Supuestos!$C$116+Supuestos!$C$117)*(1-Supuestos!$C$76))*0.5</f>
        <v>627828701.549282</v>
      </c>
      <c r="BX48" s="57" t="n">
        <f aca="false">BX9*0.5+(BX15+BX17+BX18*Supuestos!$C$116/(Supuestos!$C$116+Supuestos!$C$117)*(1-Supuestos!$C$76))*0.5</f>
        <v>617430050.345988</v>
      </c>
      <c r="BY48" s="57" t="n">
        <f aca="false">BY9*0.5+(BY15+BY17+BY18*Supuestos!$C$116/(Supuestos!$C$116+Supuestos!$C$117)*(1-Supuestos!$C$76))*0.5</f>
        <v>626894369.704591</v>
      </c>
      <c r="BZ48" s="57" t="n">
        <f aca="false">BZ9*0.5+(BZ15+BZ17+BZ18*Supuestos!$C$116/(Supuestos!$C$116+Supuestos!$C$117)*(1-Supuestos!$C$76))*0.5</f>
        <v>627731804.684055</v>
      </c>
      <c r="CA48" s="57" t="n">
        <f aca="false">CA9*0.5+(CA15+CA17+CA18*Supuestos!$C$116/(Supuestos!$C$116+Supuestos!$C$117)*(1-Supuestos!$C$76))*0.5</f>
        <v>624275497.821858</v>
      </c>
      <c r="CB48" s="57" t="n">
        <f aca="false">CB9*0.5+(CB15+CB17+CB18*Supuestos!$C$116/(Supuestos!$C$116+Supuestos!$C$117)*(1-Supuestos!$C$76))*0.5</f>
        <v>626461769.438507</v>
      </c>
      <c r="CC48" s="57" t="n">
        <f aca="false">CC9*0.5+(CC15+CC17+CC18*Supuestos!$C$116/(Supuestos!$C$116+Supuestos!$C$117)*(1-Supuestos!$C$76))*0.5</f>
        <v>631429929.598759</v>
      </c>
      <c r="CD48" s="57" t="n">
        <f aca="false">CD9*0.5+(CD15+CD17+CD18*Supuestos!$C$116/(Supuestos!$C$116+Supuestos!$C$117)*(1-Supuestos!$C$76))*0.5</f>
        <v>630019284.979048</v>
      </c>
      <c r="CE48" s="57" t="n">
        <f aca="false">CE9*0.5+(CE15+CE17+CE18*Supuestos!$C$116/(Supuestos!$C$116+Supuestos!$C$117)*(1-Supuestos!$C$76))*0.5</f>
        <v>625419237.969355</v>
      </c>
      <c r="CF48" s="57" t="n">
        <f aca="false">CF9*0.5+(CF15+CF17+CF18*Supuestos!$C$116/(Supuestos!$C$116+Supuestos!$C$117)*(1-Supuestos!$C$76))*0.5</f>
        <v>627033639.512255</v>
      </c>
      <c r="CG48" s="57" t="n">
        <f aca="false">CG9*0.5+(CG15+CG17+CG18*Supuestos!$C$116/(Supuestos!$C$116+Supuestos!$C$117)*(1-Supuestos!$C$76))*0.5</f>
        <v>623946115.583867</v>
      </c>
      <c r="CH48" s="57" t="n">
        <f aca="false">CH9*0.5+(CH15+CH17+CH18*Supuestos!$C$116/(Supuestos!$C$116+Supuestos!$C$117)*(1-Supuestos!$C$76))*0.5</f>
        <v>617009390.73125</v>
      </c>
      <c r="CI48" s="57" t="n">
        <f aca="false">CI9*0.5+(CI15+CI17+CI18*Supuestos!$C$116/(Supuestos!$C$116+Supuestos!$C$117)*(1-Supuestos!$C$76))*0.5</f>
        <v>618748516.325621</v>
      </c>
      <c r="CJ48" s="57" t="n">
        <f aca="false">CJ9*0.5+(CJ15+CJ17+CJ18*Supuestos!$C$116/(Supuestos!$C$116+Supuestos!$C$117)*(1-Supuestos!$C$76))*0.5</f>
        <v>608453624.099905</v>
      </c>
      <c r="CK48" s="57" t="n">
        <f aca="false">CK9*0.5+(CK15+CK17+CK18*Supuestos!$C$116/(Supuestos!$C$116+Supuestos!$C$117)*(1-Supuestos!$C$76))*0.5</f>
        <v>617750973.7189</v>
      </c>
      <c r="CL48" s="57" t="n">
        <f aca="false">CL9*0.5+(CL15+CL17+CL18*Supuestos!$C$116/(Supuestos!$C$116+Supuestos!$C$117)*(1-Supuestos!$C$76))*0.5</f>
        <v>618554999.376439</v>
      </c>
      <c r="CM48" s="57" t="n">
        <f aca="false">CM9*0.5+(CM15+CM17+CM18*Supuestos!$C$116/(Supuestos!$C$116+Supuestos!$C$117)*(1-Supuestos!$C$76))*0.5</f>
        <v>615132063.401159</v>
      </c>
      <c r="CN48" s="57" t="n">
        <f aca="false">CN9*0.5+(CN15+CN17+CN18*Supuestos!$C$116/(Supuestos!$C$116+Supuestos!$C$117)*(1-Supuestos!$C$76))*0.5</f>
        <v>617284944.913386</v>
      </c>
      <c r="CO48" s="57" t="n">
        <f aca="false">CO9*0.5+(CO15+CO17+CO18*Supuestos!$C$116/(Supuestos!$C$116+Supuestos!$C$117)*(1-Supuestos!$C$76))*0.5</f>
        <v>622186334.47355</v>
      </c>
      <c r="CP48" s="57" t="n">
        <f aca="false">CP9*0.5+(CP15+CP17+CP18*Supuestos!$C$116/(Supuestos!$C$116+Supuestos!$C$117)*(1-Supuestos!$C$76))*0.5</f>
        <v>620792380.101673</v>
      </c>
      <c r="CQ48" s="57" t="n">
        <f aca="false">CQ9*0.5+(CQ15+CQ17+CQ18*Supuestos!$C$116/(Supuestos!$C$116+Supuestos!$C$117)*(1-Supuestos!$C$76))*0.5</f>
        <v>616250753.763776</v>
      </c>
      <c r="CR48" s="57" t="n">
        <f aca="false">CR9*0.5+(CR15+CR17+CR18*Supuestos!$C$116/(Supuestos!$C$116+Supuestos!$C$117)*(1-Supuestos!$C$76))*0.5</f>
        <v>617844290.094695</v>
      </c>
      <c r="CS48" s="57" t="n">
        <f aca="false">CS9*0.5+(CS15+CS17+CS18*Supuestos!$C$116/(Supuestos!$C$116+Supuestos!$C$117)*(1-Supuestos!$C$76))*0.5</f>
        <v>614796409.108196</v>
      </c>
      <c r="CT48" s="57" t="n">
        <f aca="false">CT9*0.5+(CT15+CT17+CT18*Supuestos!$C$116/(Supuestos!$C$116+Supuestos!$C$117)*(1-Supuestos!$C$76))*0.5</f>
        <v>608026024.414484</v>
      </c>
    </row>
    <row r="49" customFormat="false" ht="15" hidden="false" customHeight="true" outlineLevel="0" collapsed="false">
      <c r="B49" s="46" t="s">
        <v>624</v>
      </c>
      <c r="C49" s="60" t="n">
        <f aca="false">C47+C48+C36</f>
        <v>18989107526.8936</v>
      </c>
      <c r="D49" s="60" t="n">
        <f aca="false">D47+D48+D36</f>
        <v>20208545369.6122</v>
      </c>
      <c r="E49" s="60" t="n">
        <f aca="false">E47+E48+E36</f>
        <v>26719240800.7124</v>
      </c>
      <c r="F49" s="60" t="n">
        <f aca="false">F47+F48+F36</f>
        <v>30929243053.5254</v>
      </c>
      <c r="G49" s="60" t="n">
        <f aca="false">G47+G48+G36</f>
        <v>29445487615.3282</v>
      </c>
      <c r="H49" s="60" t="n">
        <f aca="false">H47+H48+H36</f>
        <v>29440742231.0968</v>
      </c>
      <c r="I49" s="60" t="n">
        <f aca="false">I47+I48+I36</f>
        <v>30850255898.2948</v>
      </c>
      <c r="J49" s="60" t="n">
        <f aca="false">J47+J48+J36</f>
        <v>29016215171.078</v>
      </c>
      <c r="K49" s="60" t="n">
        <f aca="false">K47+K48+K36</f>
        <v>30407895924.5762</v>
      </c>
      <c r="L49" s="60" t="n">
        <f aca="false">L47+L48+L36</f>
        <v>32343799890.9295</v>
      </c>
      <c r="M49" s="60" t="n">
        <f aca="false">M47+M48+M36</f>
        <v>29967461617.3965</v>
      </c>
      <c r="N49" s="60" t="n">
        <f aca="false">N47+N48+N36</f>
        <v>30501584790.8545</v>
      </c>
      <c r="O49" s="60" t="n">
        <f aca="false">O47+O48+O36</f>
        <v>37038075748.1988</v>
      </c>
      <c r="P49" s="60" t="n">
        <f aca="false">P47+P48+P36</f>
        <v>38265861761.747</v>
      </c>
      <c r="Q49" s="60" t="n">
        <f aca="false">Q47+Q48+Q36</f>
        <v>45138534702.8122</v>
      </c>
      <c r="R49" s="60" t="n">
        <f aca="false">R47+R48+R36</f>
        <v>49692938048.4609</v>
      </c>
      <c r="S49" s="60" t="n">
        <f aca="false">S47+S48+S36</f>
        <v>48540342307.1532</v>
      </c>
      <c r="T49" s="60" t="n">
        <f aca="false">T47+T48+T36</f>
        <v>48880450511.1788</v>
      </c>
      <c r="U49" s="60" t="n">
        <f aca="false">U47+U48+U36</f>
        <v>50648541540.7941</v>
      </c>
      <c r="V49" s="60" t="n">
        <f aca="false">V47+V48+V36</f>
        <v>49159913065.1667</v>
      </c>
      <c r="W49" s="60" t="n">
        <f aca="false">W47+W48+W36</f>
        <v>50883834517.4553</v>
      </c>
      <c r="X49" s="60" t="n">
        <f aca="false">X47+X48+X36</f>
        <v>53165708475.0589</v>
      </c>
      <c r="Y49" s="60" t="n">
        <f aca="false">Y47+Y48+Y36</f>
        <v>54872172590.3259</v>
      </c>
      <c r="Z49" s="60" t="n">
        <f aca="false">Z47+Z48+Z36</f>
        <v>55790287033.2072</v>
      </c>
      <c r="AA49" s="60" t="n">
        <f aca="false">AA47+AA48+AA36</f>
        <v>62754740402.3358</v>
      </c>
      <c r="AB49" s="60" t="n">
        <f aca="false">AB47+AB48+AB36</f>
        <v>68079279711.7556</v>
      </c>
      <c r="AC49" s="60" t="n">
        <f aca="false">AC47+AC48+AC36</f>
        <v>75318502384.6416</v>
      </c>
      <c r="AD49" s="60" t="n">
        <f aca="false">AD47+AD48+AD36</f>
        <v>80230365616.8863</v>
      </c>
      <c r="AE49" s="60" t="n">
        <f aca="false">AE47+AE48+AE36</f>
        <v>83176132217.6717</v>
      </c>
      <c r="AF49" s="60" t="n">
        <f aca="false">AF47+AF48+AF36</f>
        <v>83877413494.1227</v>
      </c>
      <c r="AG49" s="60" t="n">
        <f aca="false">AG47+AG48+AG36</f>
        <v>86016374063.9883</v>
      </c>
      <c r="AH49" s="60" t="n">
        <f aca="false">AH47+AH48+AH36</f>
        <v>88639528789.4422</v>
      </c>
      <c r="AI49" s="60" t="n">
        <f aca="false">AI47+AI48+AI36</f>
        <v>90719264454.1793</v>
      </c>
      <c r="AJ49" s="60" t="n">
        <f aca="false">AJ47+AJ48+AJ36</f>
        <v>93366644541.0095</v>
      </c>
      <c r="AK49" s="60" t="n">
        <f aca="false">AK47+AK48+AK36</f>
        <v>95429523934.1601</v>
      </c>
      <c r="AL49" s="60" t="n">
        <f aca="false">AL47+AL48+AL36</f>
        <v>96739796823.4395</v>
      </c>
      <c r="AM49" s="60" t="n">
        <f aca="false">AM47+AM48+AM36</f>
        <v>103913306966.822</v>
      </c>
      <c r="AN49" s="60" t="n">
        <f aca="false">AN47+AN48+AN36</f>
        <v>109465711481.27</v>
      </c>
      <c r="AO49" s="60" t="n">
        <f aca="false">AO47+AO48+AO36</f>
        <v>116948813934.339</v>
      </c>
      <c r="AP49" s="60" t="n">
        <f aca="false">AP47+AP48+AP36</f>
        <v>122097240606.603</v>
      </c>
      <c r="AQ49" s="60" t="n">
        <f aca="false">AQ47+AQ48+AQ36</f>
        <v>125272248078.968</v>
      </c>
      <c r="AR49" s="60" t="n">
        <f aca="false">AR47+AR48+AR36</f>
        <v>126210480975.401</v>
      </c>
      <c r="AS49" s="60" t="n">
        <f aca="false">AS47+AS48+AS36</f>
        <v>128594110400.089</v>
      </c>
      <c r="AT49" s="60" t="n">
        <f aca="false">AT47+AT48+AT36</f>
        <v>131454618191.991</v>
      </c>
      <c r="AU49" s="60" t="n">
        <f aca="false">AU47+AU48+AU36</f>
        <v>133764384959.871</v>
      </c>
      <c r="AV49" s="60" t="n">
        <f aca="false">AV47+AV48+AV36</f>
        <v>136649507530.331</v>
      </c>
      <c r="AW49" s="60" t="n">
        <f aca="false">AW47+AW48+AW36</f>
        <v>138942807803.133</v>
      </c>
      <c r="AX49" s="60" t="n">
        <f aca="false">AX47+AX48+AX36</f>
        <v>140513353168.978</v>
      </c>
      <c r="AY49" s="60" t="n">
        <f aca="false">AY47+AY48+AY36</f>
        <v>148004587065.99</v>
      </c>
      <c r="AZ49" s="60" t="n">
        <f aca="false">AZ47+AZ48+AZ36</f>
        <v>153840328374.94</v>
      </c>
      <c r="BA49" s="60" t="n">
        <f aca="false">BA47+BA48+BA36</f>
        <v>161621132083.69</v>
      </c>
      <c r="BB49" s="60" t="n">
        <f aca="false">BB47+BB48+BB36</f>
        <v>167059878799.099</v>
      </c>
      <c r="BC49" s="60" t="n">
        <f aca="false">BC47+BC48+BC36</f>
        <v>170517818830.958</v>
      </c>
      <c r="BD49" s="60" t="n">
        <f aca="false">BD47+BD48+BD36</f>
        <v>171746849478.906</v>
      </c>
      <c r="BE49" s="60" t="n">
        <f aca="false">BE47+BE48+BE36</f>
        <v>174429148462.571</v>
      </c>
      <c r="BF49" s="60" t="n">
        <f aca="false">BF47+BF48+BF36</f>
        <v>177580945319.355</v>
      </c>
      <c r="BG49" s="60" t="n">
        <f aca="false">BG47+BG48+BG36</f>
        <v>180174614431.748</v>
      </c>
      <c r="BH49" s="60" t="n">
        <f aca="false">BH47+BH48+BH36</f>
        <v>183351505324.775</v>
      </c>
      <c r="BI49" s="60" t="n">
        <f aca="false">BI47+BI48+BI36</f>
        <v>185929187633.401</v>
      </c>
      <c r="BJ49" s="60" t="n">
        <f aca="false">BJ47+BJ48+BJ36</f>
        <v>187814184786.949</v>
      </c>
      <c r="BK49" s="60" t="n">
        <f aca="false">BK47+BK48+BK36</f>
        <v>195682613147.432</v>
      </c>
      <c r="BL49" s="60" t="n">
        <f aca="false">BL47+BL48+BL36</f>
        <v>201815832150.913</v>
      </c>
      <c r="BM49" s="60" t="n">
        <f aca="false">BM47+BM48+BM36</f>
        <v>209907316180.229</v>
      </c>
      <c r="BN49" s="60" t="n">
        <f aca="false">BN47+BN48+BN36</f>
        <v>215649166457.945</v>
      </c>
      <c r="BO49" s="60" t="n">
        <f aca="false">BO47+BO48+BO36</f>
        <v>219402626863.044</v>
      </c>
      <c r="BP49" s="60" t="n">
        <f aca="false">BP47+BP48+BP36</f>
        <v>220935259924.774</v>
      </c>
      <c r="BQ49" s="60" t="n">
        <f aca="false">BQ47+BQ48+BQ36</f>
        <v>223929250157.124</v>
      </c>
      <c r="BR49" s="60" t="n">
        <f aca="false">BR47+BR48+BR36</f>
        <v>227385162260.494</v>
      </c>
      <c r="BS49" s="60" t="n">
        <f aca="false">BS47+BS48+BS36</f>
        <v>230275364230.335</v>
      </c>
      <c r="BT49" s="60" t="n">
        <f aca="false">BT47+BT48+BT36</f>
        <v>233756870843.52</v>
      </c>
      <c r="BU49" s="60" t="n">
        <f aca="false">BU47+BU48+BU36</f>
        <v>236631586933.484</v>
      </c>
      <c r="BV49" s="60" t="n">
        <f aca="false">BV47+BV48+BV36</f>
        <v>238844164737.056</v>
      </c>
      <c r="BW49" s="60" t="n">
        <f aca="false">BW47+BW48+BW36</f>
        <v>247104155952.343</v>
      </c>
      <c r="BX49" s="60" t="n">
        <f aca="false">BX47+BX48+BX36</f>
        <v>253547559773.24</v>
      </c>
      <c r="BY49" s="60" t="n">
        <f aca="false">BY47+BY48+BY36</f>
        <v>261962919733.758</v>
      </c>
      <c r="BZ49" s="60" t="n">
        <f aca="false">BZ47+BZ48+BZ36</f>
        <v>268020871060.578</v>
      </c>
      <c r="CA49" s="60" t="n">
        <f aca="false">CA47+CA48+CA36</f>
        <v>272082651039.57</v>
      </c>
      <c r="CB49" s="60" t="n">
        <f aca="false">CB47+CB48+CB36</f>
        <v>273931905500.037</v>
      </c>
      <c r="CC49" s="60" t="n">
        <f aca="false">CC47+CC48+CC36</f>
        <v>277250825931.621</v>
      </c>
      <c r="CD49" s="60" t="n">
        <f aca="false">CD47+CD48+CD36</f>
        <v>281023894145.815</v>
      </c>
      <c r="CE49" s="60" t="n">
        <f aca="false">CE47+CE48+CE36</f>
        <v>284223471588.052</v>
      </c>
      <c r="CF49" s="60" t="n">
        <f aca="false">CF47+CF48+CF36</f>
        <v>288022656357.175</v>
      </c>
      <c r="CG49" s="60" t="n">
        <f aca="false">CG47+CG48+CG36</f>
        <v>291207270431.957</v>
      </c>
      <c r="CH49" s="60" t="n">
        <f aca="false">CH47+CH48+CH36</f>
        <v>293760782010.103</v>
      </c>
      <c r="CI49" s="60" t="n">
        <f aca="false">CI47+CI48+CI36</f>
        <v>302426952653.775</v>
      </c>
      <c r="CJ49" s="60" t="n">
        <f aca="false">CJ47+CJ48+CJ36</f>
        <v>309193466649.298</v>
      </c>
      <c r="CK49" s="60" t="n">
        <f aca="false">CK47+CK48+CK36</f>
        <v>317946120939.685</v>
      </c>
      <c r="CL49" s="60" t="n">
        <f aca="false">CL47+CL48+CL36</f>
        <v>324333390935.142</v>
      </c>
      <c r="CM49" s="60" t="n">
        <f aca="false">CM47+CM48+CM36</f>
        <v>328716507163.853</v>
      </c>
      <c r="CN49" s="60" t="n">
        <f aca="false">CN47+CN48+CN36</f>
        <v>330895622505.421</v>
      </c>
      <c r="CO49" s="60" t="n">
        <f aca="false">CO47+CO48+CO36</f>
        <v>334552935608.98</v>
      </c>
      <c r="CP49" s="60" t="n">
        <f aca="false">CP47+CP48+CP36</f>
        <v>338656421665.703</v>
      </c>
      <c r="CQ49" s="60" t="n">
        <f aca="false">CQ47+CQ48+CQ36</f>
        <v>342178435405.78</v>
      </c>
      <c r="CR49" s="60" t="n">
        <f aca="false">CR47+CR48+CR36</f>
        <v>346308581999.956</v>
      </c>
      <c r="CS49" s="60" t="n">
        <f aca="false">CS47+CS48+CS36</f>
        <v>349816176839.718</v>
      </c>
      <c r="CT49" s="60" t="n">
        <f aca="false">CT47+CT48+CT36</f>
        <v>352724205874.229</v>
      </c>
    </row>
    <row r="51" customFormat="false" ht="15" hidden="false" customHeight="true" outlineLevel="0" collapsed="false">
      <c r="B51" s="56" t="s">
        <v>625</v>
      </c>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row>
    <row r="52" customFormat="false" ht="15" hidden="false" customHeight="true" outlineLevel="0" collapsed="false">
      <c r="B52" s="19" t="s">
        <v>626</v>
      </c>
      <c r="C52" s="57" t="n">
        <f aca="false">'Gastos objeto'!C23*Supuestos!$C$39</f>
        <v>10861867900.3952</v>
      </c>
      <c r="D52" s="57" t="n">
        <f aca="false">'Gastos objeto'!D23*Supuestos!$C$39</f>
        <v>13169577149.7277</v>
      </c>
      <c r="E52" s="57" t="n">
        <f aca="false">'Gastos objeto'!E23*Supuestos!$C$39</f>
        <v>11150037876.3521</v>
      </c>
      <c r="F52" s="57" t="n">
        <f aca="false">'Gastos objeto'!F23*Supuestos!$C$39</f>
        <v>12071610346.656</v>
      </c>
      <c r="G52" s="57" t="n">
        <f aca="false">'Gastos objeto'!G23*Supuestos!$C$39</f>
        <v>14669306713.5343</v>
      </c>
      <c r="H52" s="57" t="n">
        <f aca="false">'Gastos objeto'!H23*Supuestos!$C$39</f>
        <v>15229337635.7644</v>
      </c>
      <c r="I52" s="57" t="n">
        <f aca="false">'Gastos objeto'!I23*Supuestos!$C$39</f>
        <v>13227924533.6612</v>
      </c>
      <c r="J52" s="57" t="n">
        <f aca="false">'Gastos objeto'!J23*Supuestos!$C$39</f>
        <v>15102924533.6612</v>
      </c>
      <c r="K52" s="57" t="n">
        <f aca="false">'Gastos objeto'!K23*Supuestos!$C$39</f>
        <v>13227924533.6612</v>
      </c>
      <c r="L52" s="57" t="n">
        <f aca="false">'Gastos objeto'!L23*Supuestos!$C$39</f>
        <v>13227924533.6612</v>
      </c>
      <c r="M52" s="57" t="n">
        <f aca="false">'Gastos objeto'!M23*Supuestos!$C$39</f>
        <v>15125020859.0954</v>
      </c>
      <c r="N52" s="57" t="n">
        <f aca="false">'Gastos objeto'!N23*Supuestos!$C$39</f>
        <v>15251433961.1986</v>
      </c>
      <c r="O52" s="57" t="n">
        <f aca="false">'Gastos objeto'!O23*Supuestos!$C$39</f>
        <v>12351453285.0201</v>
      </c>
      <c r="P52" s="57" t="n">
        <f aca="false">'Gastos objeto'!P23*Supuestos!$C$39</f>
        <v>13397361222.3056</v>
      </c>
      <c r="Q52" s="57" t="n">
        <f aca="false">'Gastos objeto'!Q23*Supuestos!$C$39</f>
        <v>11232374104.7598</v>
      </c>
      <c r="R52" s="57" t="n">
        <f aca="false">'Gastos objeto'!R23*Supuestos!$C$39</f>
        <v>12153946575.0638</v>
      </c>
      <c r="S52" s="57" t="n">
        <f aca="false">'Gastos objeto'!S23*Supuestos!$C$39</f>
        <v>14751642941.942</v>
      </c>
      <c r="T52" s="57" t="n">
        <f aca="false">'Gastos objeto'!T23*Supuestos!$C$39</f>
        <v>15311673864.1722</v>
      </c>
      <c r="U52" s="57" t="n">
        <f aca="false">'Gastos objeto'!U23*Supuestos!$C$39</f>
        <v>13310260762.069</v>
      </c>
      <c r="V52" s="57" t="n">
        <f aca="false">'Gastos objeto'!V23*Supuestos!$C$39</f>
        <v>15185260762.069</v>
      </c>
      <c r="W52" s="57" t="n">
        <f aca="false">'Gastos objeto'!W23*Supuestos!$C$39</f>
        <v>13310260762.069</v>
      </c>
      <c r="X52" s="57" t="n">
        <f aca="false">'Gastos objeto'!X23*Supuestos!$C$39</f>
        <v>13310260762.069</v>
      </c>
      <c r="Y52" s="57" t="n">
        <f aca="false">'Gastos objeto'!Y23*Supuestos!$C$39</f>
        <v>13332357087.5032</v>
      </c>
      <c r="Z52" s="57" t="n">
        <f aca="false">'Gastos objeto'!Z23*Supuestos!$C$39</f>
        <v>15333770189.6064</v>
      </c>
      <c r="AA52" s="57" t="n">
        <f aca="false">'Gastos objeto'!AA23*Supuestos!$C$39</f>
        <v>12356398067.8167</v>
      </c>
      <c r="AB52" s="57" t="n">
        <f aca="false">'Gastos objeto'!AB23*Supuestos!$C$39</f>
        <v>11520232214.815</v>
      </c>
      <c r="AC52" s="57" t="n">
        <f aca="false">'Gastos objeto'!AC23*Supuestos!$C$39</f>
        <v>11230245097.2693</v>
      </c>
      <c r="AD52" s="57" t="n">
        <f aca="false">'Gastos objeto'!AD23*Supuestos!$C$39</f>
        <v>12151817567.5732</v>
      </c>
      <c r="AE52" s="57" t="n">
        <f aca="false">'Gastos objeto'!AE23*Supuestos!$C$39</f>
        <v>12874513934.4515</v>
      </c>
      <c r="AF52" s="57" t="n">
        <f aca="false">'Gastos objeto'!AF23*Supuestos!$C$39</f>
        <v>15309544856.6816</v>
      </c>
      <c r="AG52" s="57" t="n">
        <f aca="false">'Gastos objeto'!AG23*Supuestos!$C$39</f>
        <v>13308131754.5784</v>
      </c>
      <c r="AH52" s="57" t="n">
        <f aca="false">'Gastos objeto'!AH23*Supuestos!$C$39</f>
        <v>13308131754.5784</v>
      </c>
      <c r="AI52" s="57" t="n">
        <f aca="false">'Gastos objeto'!AI23*Supuestos!$C$39</f>
        <v>13308131754.5784</v>
      </c>
      <c r="AJ52" s="57" t="n">
        <f aca="false">'Gastos objeto'!AJ23*Supuestos!$C$39</f>
        <v>13308131754.5784</v>
      </c>
      <c r="AK52" s="57" t="n">
        <f aca="false">'Gastos objeto'!AK23*Supuestos!$C$39</f>
        <v>13330228080.0126</v>
      </c>
      <c r="AL52" s="57" t="n">
        <f aca="false">'Gastos objeto'!AL23*Supuestos!$C$39</f>
        <v>15331641182.1158</v>
      </c>
      <c r="AM52" s="57" t="n">
        <f aca="false">'Gastos objeto'!AM23*Supuestos!$C$39</f>
        <v>12431660505.9373</v>
      </c>
      <c r="AN52" s="57" t="n">
        <f aca="false">'Gastos objeto'!AN23*Supuestos!$C$39</f>
        <v>11543746003.495</v>
      </c>
      <c r="AO52" s="57" t="n">
        <f aca="false">'Gastos objeto'!AO23*Supuestos!$C$39</f>
        <v>11253758885.9493</v>
      </c>
      <c r="AP52" s="57" t="n">
        <f aca="false">'Gastos objeto'!AP23*Supuestos!$C$39</f>
        <v>12175331356.2532</v>
      </c>
      <c r="AQ52" s="57" t="n">
        <f aca="false">'Gastos objeto'!AQ23*Supuestos!$C$39</f>
        <v>12898027723.1315</v>
      </c>
      <c r="AR52" s="57" t="n">
        <f aca="false">'Gastos objeto'!AR23*Supuestos!$C$39</f>
        <v>15333058645.3616</v>
      </c>
      <c r="AS52" s="57" t="n">
        <f aca="false">'Gastos objeto'!AS23*Supuestos!$C$39</f>
        <v>13331645543.2584</v>
      </c>
      <c r="AT52" s="57" t="n">
        <f aca="false">'Gastos objeto'!AT23*Supuestos!$C$39</f>
        <v>13331645543.2584</v>
      </c>
      <c r="AU52" s="57" t="n">
        <f aca="false">'Gastos objeto'!AU23*Supuestos!$C$39</f>
        <v>13331645543.2584</v>
      </c>
      <c r="AV52" s="57" t="n">
        <f aca="false">'Gastos objeto'!AV23*Supuestos!$C$39</f>
        <v>13331645543.2584</v>
      </c>
      <c r="AW52" s="57" t="n">
        <f aca="false">'Gastos objeto'!AW23*Supuestos!$C$39</f>
        <v>13353741868.6926</v>
      </c>
      <c r="AX52" s="57" t="n">
        <f aca="false">'Gastos objeto'!AX23*Supuestos!$C$39</f>
        <v>15355154970.7958</v>
      </c>
      <c r="AY52" s="57" t="n">
        <f aca="false">'Gastos objeto'!AY23*Supuestos!$C$39</f>
        <v>12455174294.6173</v>
      </c>
      <c r="AZ52" s="57" t="n">
        <f aca="false">'Gastos objeto'!AZ23*Supuestos!$C$39</f>
        <v>11543746003.495</v>
      </c>
      <c r="BA52" s="57" t="n">
        <f aca="false">'Gastos objeto'!BA23*Supuestos!$C$39</f>
        <v>11253758885.9493</v>
      </c>
      <c r="BB52" s="57" t="n">
        <f aca="false">'Gastos objeto'!BB23*Supuestos!$C$39</f>
        <v>12175331356.2532</v>
      </c>
      <c r="BC52" s="57" t="n">
        <f aca="false">'Gastos objeto'!BC23*Supuestos!$C$39</f>
        <v>12898027723.1315</v>
      </c>
      <c r="BD52" s="57" t="n">
        <f aca="false">'Gastos objeto'!BD23*Supuestos!$C$39</f>
        <v>15333058645.3616</v>
      </c>
      <c r="BE52" s="57" t="n">
        <f aca="false">'Gastos objeto'!BE23*Supuestos!$C$39</f>
        <v>13331645543.2584</v>
      </c>
      <c r="BF52" s="57" t="n">
        <f aca="false">'Gastos objeto'!BF23*Supuestos!$C$39</f>
        <v>13331645543.2584</v>
      </c>
      <c r="BG52" s="57" t="n">
        <f aca="false">'Gastos objeto'!BG23*Supuestos!$C$39</f>
        <v>13331645543.2584</v>
      </c>
      <c r="BH52" s="57" t="n">
        <f aca="false">'Gastos objeto'!BH23*Supuestos!$C$39</f>
        <v>13331645543.2584</v>
      </c>
      <c r="BI52" s="57" t="n">
        <f aca="false">'Gastos objeto'!BI23*Supuestos!$C$39</f>
        <v>13353741868.6926</v>
      </c>
      <c r="BJ52" s="57" t="n">
        <f aca="false">'Gastos objeto'!BJ23*Supuestos!$C$39</f>
        <v>15355154970.7958</v>
      </c>
      <c r="BK52" s="57" t="n">
        <f aca="false">'Gastos objeto'!BK23*Supuestos!$C$39</f>
        <v>12455174294.6173</v>
      </c>
      <c r="BL52" s="57" t="n">
        <f aca="false">'Gastos objeto'!BL23*Supuestos!$C$39</f>
        <v>11543746003.495</v>
      </c>
      <c r="BM52" s="57" t="n">
        <f aca="false">'Gastos objeto'!BM23*Supuestos!$C$39</f>
        <v>11253758885.9493</v>
      </c>
      <c r="BN52" s="57" t="n">
        <f aca="false">'Gastos objeto'!BN23*Supuestos!$C$39</f>
        <v>12175331356.2532</v>
      </c>
      <c r="BO52" s="57" t="n">
        <f aca="false">'Gastos objeto'!BO23*Supuestos!$C$39</f>
        <v>12898027723.1315</v>
      </c>
      <c r="BP52" s="57" t="n">
        <f aca="false">'Gastos objeto'!BP23*Supuestos!$C$39</f>
        <v>15333058645.3616</v>
      </c>
      <c r="BQ52" s="57" t="n">
        <f aca="false">'Gastos objeto'!BQ23*Supuestos!$C$39</f>
        <v>13331645543.2584</v>
      </c>
      <c r="BR52" s="57" t="n">
        <f aca="false">'Gastos objeto'!BR23*Supuestos!$C$39</f>
        <v>13331645543.2584</v>
      </c>
      <c r="BS52" s="57" t="n">
        <f aca="false">'Gastos objeto'!BS23*Supuestos!$C$39</f>
        <v>13331645543.2584</v>
      </c>
      <c r="BT52" s="57" t="n">
        <f aca="false">'Gastos objeto'!BT23*Supuestos!$C$39</f>
        <v>13331645543.2584</v>
      </c>
      <c r="BU52" s="57" t="n">
        <f aca="false">'Gastos objeto'!BU23*Supuestos!$C$39</f>
        <v>13353741868.6926</v>
      </c>
      <c r="BV52" s="57" t="n">
        <f aca="false">'Gastos objeto'!BV23*Supuestos!$C$39</f>
        <v>15355154970.7958</v>
      </c>
      <c r="BW52" s="57" t="n">
        <f aca="false">'Gastos objeto'!BW23*Supuestos!$C$39</f>
        <v>12455174294.6173</v>
      </c>
      <c r="BX52" s="57" t="n">
        <f aca="false">'Gastos objeto'!BX23*Supuestos!$C$39</f>
        <v>11543746003.495</v>
      </c>
      <c r="BY52" s="57" t="n">
        <f aca="false">'Gastos objeto'!BY23*Supuestos!$C$39</f>
        <v>11253758885.9493</v>
      </c>
      <c r="BZ52" s="57" t="n">
        <f aca="false">'Gastos objeto'!BZ23*Supuestos!$C$39</f>
        <v>12175331356.2532</v>
      </c>
      <c r="CA52" s="57" t="n">
        <f aca="false">'Gastos objeto'!CA23*Supuestos!$C$39</f>
        <v>12898027723.1315</v>
      </c>
      <c r="CB52" s="57" t="n">
        <f aca="false">'Gastos objeto'!CB23*Supuestos!$C$39</f>
        <v>15333058645.3616</v>
      </c>
      <c r="CC52" s="57" t="n">
        <f aca="false">'Gastos objeto'!CC23*Supuestos!$C$39</f>
        <v>13331645543.2584</v>
      </c>
      <c r="CD52" s="57" t="n">
        <f aca="false">'Gastos objeto'!CD23*Supuestos!$C$39</f>
        <v>13331645543.2584</v>
      </c>
      <c r="CE52" s="57" t="n">
        <f aca="false">'Gastos objeto'!CE23*Supuestos!$C$39</f>
        <v>13331645543.2584</v>
      </c>
      <c r="CF52" s="57" t="n">
        <f aca="false">'Gastos objeto'!CF23*Supuestos!$C$39</f>
        <v>13331645543.2584</v>
      </c>
      <c r="CG52" s="57" t="n">
        <f aca="false">'Gastos objeto'!CG23*Supuestos!$C$39</f>
        <v>13353741868.6926</v>
      </c>
      <c r="CH52" s="57" t="n">
        <f aca="false">'Gastos objeto'!CH23*Supuestos!$C$39</f>
        <v>15355154970.7958</v>
      </c>
      <c r="CI52" s="57" t="n">
        <f aca="false">'Gastos objeto'!CI23*Supuestos!$C$39</f>
        <v>12455174294.6173</v>
      </c>
      <c r="CJ52" s="57" t="n">
        <f aca="false">'Gastos objeto'!CJ23*Supuestos!$C$39</f>
        <v>11543746003.495</v>
      </c>
      <c r="CK52" s="57" t="n">
        <f aca="false">'Gastos objeto'!CK23*Supuestos!$C$39</f>
        <v>11253758885.9493</v>
      </c>
      <c r="CL52" s="57" t="n">
        <f aca="false">'Gastos objeto'!CL23*Supuestos!$C$39</f>
        <v>12175331356.2532</v>
      </c>
      <c r="CM52" s="57" t="n">
        <f aca="false">'Gastos objeto'!CM23*Supuestos!$C$39</f>
        <v>12898027723.1315</v>
      </c>
      <c r="CN52" s="57" t="n">
        <f aca="false">'Gastos objeto'!CN23*Supuestos!$C$39</f>
        <v>15333058645.3616</v>
      </c>
      <c r="CO52" s="57" t="n">
        <f aca="false">'Gastos objeto'!CO23*Supuestos!$C$39</f>
        <v>13331645543.2584</v>
      </c>
      <c r="CP52" s="57" t="n">
        <f aca="false">'Gastos objeto'!CP23*Supuestos!$C$39</f>
        <v>13331645543.2584</v>
      </c>
      <c r="CQ52" s="57" t="n">
        <f aca="false">'Gastos objeto'!CQ23*Supuestos!$C$39</f>
        <v>13331645543.2584</v>
      </c>
      <c r="CR52" s="57" t="n">
        <f aca="false">'Gastos objeto'!CR23*Supuestos!$C$39</f>
        <v>13331645543.2584</v>
      </c>
      <c r="CS52" s="57" t="n">
        <f aca="false">'Gastos objeto'!CS23*Supuestos!$C$39</f>
        <v>13353741868.6926</v>
      </c>
      <c r="CT52" s="57" t="n">
        <f aca="false">'Gastos objeto'!CT23*Supuestos!$C$39</f>
        <v>15355154970.7958</v>
      </c>
    </row>
    <row r="53" customFormat="false" ht="15" hidden="false" customHeight="true" outlineLevel="0" collapsed="false">
      <c r="B53" s="19" t="s">
        <v>627</v>
      </c>
      <c r="C53" s="69" t="str">
        <f aca="false">IF(C47&lt;C52,"ALERTA","")</f>
        <v/>
      </c>
      <c r="D53" s="69" t="str">
        <f aca="false">IF(D47&lt;D52,"ALERTA","")</f>
        <v/>
      </c>
      <c r="E53" s="69" t="str">
        <f aca="false">IF(E47&lt;E52,"ALERTA","")</f>
        <v/>
      </c>
      <c r="F53" s="69" t="str">
        <f aca="false">IF(F47&lt;F52,"ALERTA","")</f>
        <v/>
      </c>
      <c r="G53" s="69" t="str">
        <f aca="false">IF(G47&lt;G52,"ALERTA","")</f>
        <v/>
      </c>
      <c r="H53" s="69" t="str">
        <f aca="false">IF(H47&lt;H52,"ALERTA","")</f>
        <v/>
      </c>
      <c r="I53" s="69" t="str">
        <f aca="false">IF(I47&lt;I52,"ALERTA","")</f>
        <v/>
      </c>
      <c r="J53" s="69" t="str">
        <f aca="false">IF(J47&lt;J52,"ALERTA","")</f>
        <v/>
      </c>
      <c r="K53" s="69" t="str">
        <f aca="false">IF(K47&lt;K52,"ALERTA","")</f>
        <v/>
      </c>
      <c r="L53" s="69" t="str">
        <f aca="false">IF(L47&lt;L52,"ALERTA","")</f>
        <v/>
      </c>
      <c r="M53" s="69" t="str">
        <f aca="false">IF(M47&lt;M52,"ALERTA","")</f>
        <v/>
      </c>
      <c r="N53" s="69" t="str">
        <f aca="false">IF(N47&lt;N52,"ALERTA","")</f>
        <v/>
      </c>
      <c r="O53" s="69" t="str">
        <f aca="false">IF(O47&lt;O52,"ALERTA","")</f>
        <v/>
      </c>
      <c r="P53" s="69" t="str">
        <f aca="false">IF(P47&lt;P52,"ALERTA","")</f>
        <v/>
      </c>
      <c r="Q53" s="69" t="str">
        <f aca="false">IF(Q47&lt;Q52,"ALERTA","")</f>
        <v/>
      </c>
      <c r="R53" s="69" t="str">
        <f aca="false">IF(R47&lt;R52,"ALERTA","")</f>
        <v/>
      </c>
      <c r="S53" s="69" t="str">
        <f aca="false">IF(S47&lt;S52,"ALERTA","")</f>
        <v/>
      </c>
      <c r="T53" s="69" t="str">
        <f aca="false">IF(T47&lt;T52,"ALERTA","")</f>
        <v/>
      </c>
      <c r="U53" s="69" t="str">
        <f aca="false">IF(U47&lt;U52,"ALERTA","")</f>
        <v/>
      </c>
      <c r="V53" s="69" t="str">
        <f aca="false">IF(V47&lt;V52,"ALERTA","")</f>
        <v/>
      </c>
      <c r="W53" s="69" t="str">
        <f aca="false">IF(W47&lt;W52,"ALERTA","")</f>
        <v/>
      </c>
      <c r="X53" s="69" t="str">
        <f aca="false">IF(X47&lt;X52,"ALERTA","")</f>
        <v/>
      </c>
      <c r="Y53" s="69" t="str">
        <f aca="false">IF(Y47&lt;Y52,"ALERTA","")</f>
        <v/>
      </c>
      <c r="Z53" s="69" t="str">
        <f aca="false">IF(Z47&lt;Z52,"ALERTA","")</f>
        <v/>
      </c>
      <c r="AA53" s="69" t="str">
        <f aca="false">IF(AA47&lt;AA52,"ALERTA","")</f>
        <v/>
      </c>
      <c r="AB53" s="69" t="str">
        <f aca="false">IF(AB47&lt;AB52,"ALERTA","")</f>
        <v/>
      </c>
      <c r="AC53" s="69" t="str">
        <f aca="false">IF(AC47&lt;AC52,"ALERTA","")</f>
        <v/>
      </c>
      <c r="AD53" s="69" t="str">
        <f aca="false">IF(AD47&lt;AD52,"ALERTA","")</f>
        <v/>
      </c>
      <c r="AE53" s="69" t="str">
        <f aca="false">IF(AE47&lt;AE52,"ALERTA","")</f>
        <v/>
      </c>
      <c r="AF53" s="69" t="str">
        <f aca="false">IF(AF47&lt;AF52,"ALERTA","")</f>
        <v/>
      </c>
      <c r="AG53" s="69" t="str">
        <f aca="false">IF(AG47&lt;AG52,"ALERTA","")</f>
        <v/>
      </c>
      <c r="AH53" s="69" t="str">
        <f aca="false">IF(AH47&lt;AH52,"ALERTA","")</f>
        <v/>
      </c>
      <c r="AI53" s="69" t="str">
        <f aca="false">IF(AI47&lt;AI52,"ALERTA","")</f>
        <v/>
      </c>
      <c r="AJ53" s="69" t="str">
        <f aca="false">IF(AJ47&lt;AJ52,"ALERTA","")</f>
        <v/>
      </c>
      <c r="AK53" s="69" t="str">
        <f aca="false">IF(AK47&lt;AK52,"ALERTA","")</f>
        <v/>
      </c>
      <c r="AL53" s="69" t="str">
        <f aca="false">IF(AL47&lt;AL52,"ALERTA","")</f>
        <v/>
      </c>
      <c r="AM53" s="69" t="str">
        <f aca="false">IF(AM47&lt;AM52,"ALERTA","")</f>
        <v/>
      </c>
      <c r="AN53" s="69" t="str">
        <f aca="false">IF(AN47&lt;AN52,"ALERTA","")</f>
        <v/>
      </c>
      <c r="AO53" s="69" t="str">
        <f aca="false">IF(AO47&lt;AO52,"ALERTA","")</f>
        <v/>
      </c>
      <c r="AP53" s="69" t="str">
        <f aca="false">IF(AP47&lt;AP52,"ALERTA","")</f>
        <v/>
      </c>
      <c r="AQ53" s="69" t="str">
        <f aca="false">IF(AQ47&lt;AQ52,"ALERTA","")</f>
        <v/>
      </c>
      <c r="AR53" s="69" t="str">
        <f aca="false">IF(AR47&lt;AR52,"ALERTA","")</f>
        <v/>
      </c>
      <c r="AS53" s="69" t="str">
        <f aca="false">IF(AS47&lt;AS52,"ALERTA","")</f>
        <v/>
      </c>
      <c r="AT53" s="69" t="str">
        <f aca="false">IF(AT47&lt;AT52,"ALERTA","")</f>
        <v/>
      </c>
      <c r="AU53" s="69" t="str">
        <f aca="false">IF(AU47&lt;AU52,"ALERTA","")</f>
        <v/>
      </c>
      <c r="AV53" s="69" t="str">
        <f aca="false">IF(AV47&lt;AV52,"ALERTA","")</f>
        <v/>
      </c>
      <c r="AW53" s="69" t="str">
        <f aca="false">IF(AW47&lt;AW52,"ALERTA","")</f>
        <v/>
      </c>
      <c r="AX53" s="69" t="str">
        <f aca="false">IF(AX47&lt;AX52,"ALERTA","")</f>
        <v/>
      </c>
      <c r="AY53" s="69" t="str">
        <f aca="false">IF(AY47&lt;AY52,"ALERTA","")</f>
        <v/>
      </c>
      <c r="AZ53" s="69" t="str">
        <f aca="false">IF(AZ47&lt;AZ52,"ALERTA","")</f>
        <v/>
      </c>
      <c r="BA53" s="69" t="str">
        <f aca="false">IF(BA47&lt;BA52,"ALERTA","")</f>
        <v/>
      </c>
      <c r="BB53" s="69" t="str">
        <f aca="false">IF(BB47&lt;BB52,"ALERTA","")</f>
        <v/>
      </c>
      <c r="BC53" s="69" t="str">
        <f aca="false">IF(BC47&lt;BC52,"ALERTA","")</f>
        <v/>
      </c>
      <c r="BD53" s="69" t="str">
        <f aca="false">IF(BD47&lt;BD52,"ALERTA","")</f>
        <v/>
      </c>
      <c r="BE53" s="69" t="str">
        <f aca="false">IF(BE47&lt;BE52,"ALERTA","")</f>
        <v/>
      </c>
      <c r="BF53" s="69" t="str">
        <f aca="false">IF(BF47&lt;BF52,"ALERTA","")</f>
        <v/>
      </c>
      <c r="BG53" s="69" t="str">
        <f aca="false">IF(BG47&lt;BG52,"ALERTA","")</f>
        <v/>
      </c>
      <c r="BH53" s="69" t="str">
        <f aca="false">IF(BH47&lt;BH52,"ALERTA","")</f>
        <v/>
      </c>
      <c r="BI53" s="69" t="str">
        <f aca="false">IF(BI47&lt;BI52,"ALERTA","")</f>
        <v/>
      </c>
      <c r="BJ53" s="69" t="str">
        <f aca="false">IF(BJ47&lt;BJ52,"ALERTA","")</f>
        <v/>
      </c>
      <c r="BK53" s="69" t="str">
        <f aca="false">IF(BK47&lt;BK52,"ALERTA","")</f>
        <v/>
      </c>
      <c r="BL53" s="69" t="str">
        <f aca="false">IF(BL47&lt;BL52,"ALERTA","")</f>
        <v/>
      </c>
      <c r="BM53" s="69" t="str">
        <f aca="false">IF(BM47&lt;BM52,"ALERTA","")</f>
        <v/>
      </c>
      <c r="BN53" s="69" t="str">
        <f aca="false">IF(BN47&lt;BN52,"ALERTA","")</f>
        <v/>
      </c>
      <c r="BO53" s="69" t="str">
        <f aca="false">IF(BO47&lt;BO52,"ALERTA","")</f>
        <v/>
      </c>
      <c r="BP53" s="69" t="str">
        <f aca="false">IF(BP47&lt;BP52,"ALERTA","")</f>
        <v/>
      </c>
      <c r="BQ53" s="69" t="str">
        <f aca="false">IF(BQ47&lt;BQ52,"ALERTA","")</f>
        <v/>
      </c>
      <c r="BR53" s="69" t="str">
        <f aca="false">IF(BR47&lt;BR52,"ALERTA","")</f>
        <v/>
      </c>
      <c r="BS53" s="69" t="str">
        <f aca="false">IF(BS47&lt;BS52,"ALERTA","")</f>
        <v/>
      </c>
      <c r="BT53" s="69" t="str">
        <f aca="false">IF(BT47&lt;BT52,"ALERTA","")</f>
        <v/>
      </c>
      <c r="BU53" s="69" t="str">
        <f aca="false">IF(BU47&lt;BU52,"ALERTA","")</f>
        <v/>
      </c>
      <c r="BV53" s="69" t="str">
        <f aca="false">IF(BV47&lt;BV52,"ALERTA","")</f>
        <v/>
      </c>
      <c r="BW53" s="69" t="str">
        <f aca="false">IF(BW47&lt;BW52,"ALERTA","")</f>
        <v/>
      </c>
      <c r="BX53" s="69" t="str">
        <f aca="false">IF(BX47&lt;BX52,"ALERTA","")</f>
        <v/>
      </c>
      <c r="BY53" s="69" t="str">
        <f aca="false">IF(BY47&lt;BY52,"ALERTA","")</f>
        <v/>
      </c>
      <c r="BZ53" s="69" t="str">
        <f aca="false">IF(BZ47&lt;BZ52,"ALERTA","")</f>
        <v/>
      </c>
      <c r="CA53" s="69" t="str">
        <f aca="false">IF(CA47&lt;CA52,"ALERTA","")</f>
        <v/>
      </c>
      <c r="CB53" s="69" t="str">
        <f aca="false">IF(CB47&lt;CB52,"ALERTA","")</f>
        <v/>
      </c>
      <c r="CC53" s="69" t="str">
        <f aca="false">IF(CC47&lt;CC52,"ALERTA","")</f>
        <v/>
      </c>
      <c r="CD53" s="69" t="str">
        <f aca="false">IF(CD47&lt;CD52,"ALERTA","")</f>
        <v/>
      </c>
      <c r="CE53" s="69" t="str">
        <f aca="false">IF(CE47&lt;CE52,"ALERTA","")</f>
        <v/>
      </c>
      <c r="CF53" s="69" t="str">
        <f aca="false">IF(CF47&lt;CF52,"ALERTA","")</f>
        <v/>
      </c>
      <c r="CG53" s="69" t="str">
        <f aca="false">IF(CG47&lt;CG52,"ALERTA","")</f>
        <v/>
      </c>
      <c r="CH53" s="69" t="str">
        <f aca="false">IF(CH47&lt;CH52,"ALERTA","")</f>
        <v/>
      </c>
      <c r="CI53" s="69" t="str">
        <f aca="false">IF(CI47&lt;CI52,"ALERTA","")</f>
        <v/>
      </c>
      <c r="CJ53" s="69" t="str">
        <f aca="false">IF(CJ47&lt;CJ52,"ALERTA","")</f>
        <v/>
      </c>
      <c r="CK53" s="69" t="str">
        <f aca="false">IF(CK47&lt;CK52,"ALERTA","")</f>
        <v/>
      </c>
      <c r="CL53" s="69" t="str">
        <f aca="false">IF(CL47&lt;CL52,"ALERTA","")</f>
        <v/>
      </c>
      <c r="CM53" s="69" t="str">
        <f aca="false">IF(CM47&lt;CM52,"ALERTA","")</f>
        <v/>
      </c>
      <c r="CN53" s="69" t="str">
        <f aca="false">IF(CN47&lt;CN52,"ALERTA","")</f>
        <v/>
      </c>
      <c r="CO53" s="69" t="str">
        <f aca="false">IF(CO47&lt;CO52,"ALERTA","")</f>
        <v/>
      </c>
      <c r="CP53" s="69" t="str">
        <f aca="false">IF(CP47&lt;CP52,"ALERTA","")</f>
        <v/>
      </c>
      <c r="CQ53" s="69" t="str">
        <f aca="false">IF(CQ47&lt;CQ52,"ALERTA","")</f>
        <v/>
      </c>
      <c r="CR53" s="69" t="str">
        <f aca="false">IF(CR47&lt;CR52,"ALERTA","")</f>
        <v/>
      </c>
      <c r="CS53" s="69" t="str">
        <f aca="false">IF(CS47&lt;CS52,"ALERTA","")</f>
        <v/>
      </c>
      <c r="CT53" s="69" t="str">
        <f aca="false">IF(CT47&lt;CT52,"ALERTA","")</f>
        <v/>
      </c>
    </row>
    <row r="54" customFormat="false" ht="15" hidden="false" customHeight="true" outlineLevel="0" collapsed="false">
      <c r="B54" s="19" t="s">
        <v>628</v>
      </c>
      <c r="C54" s="57" t="n">
        <f aca="false">MAX(-C47,0)</f>
        <v>0</v>
      </c>
      <c r="D54" s="57" t="n">
        <f aca="false">MAX(-D47,0)</f>
        <v>0</v>
      </c>
      <c r="E54" s="57" t="n">
        <f aca="false">MAX(-E47,0)</f>
        <v>0</v>
      </c>
      <c r="F54" s="57" t="n">
        <f aca="false">MAX(-F47,0)</f>
        <v>0</v>
      </c>
      <c r="G54" s="57" t="n">
        <f aca="false">MAX(-G47,0)</f>
        <v>0</v>
      </c>
      <c r="H54" s="57" t="n">
        <f aca="false">MAX(-H47,0)</f>
        <v>0</v>
      </c>
      <c r="I54" s="57" t="n">
        <f aca="false">MAX(-I47,0)</f>
        <v>0</v>
      </c>
      <c r="J54" s="57" t="n">
        <f aca="false">MAX(-J47,0)</f>
        <v>0</v>
      </c>
      <c r="K54" s="57" t="n">
        <f aca="false">MAX(-K47,0)</f>
        <v>0</v>
      </c>
      <c r="L54" s="57" t="n">
        <f aca="false">MAX(-L47,0)</f>
        <v>0</v>
      </c>
      <c r="M54" s="57" t="n">
        <f aca="false">MAX(-M47,0)</f>
        <v>0</v>
      </c>
      <c r="N54" s="57" t="n">
        <f aca="false">MAX(-N47,0)</f>
        <v>0</v>
      </c>
      <c r="O54" s="57" t="n">
        <f aca="false">MAX(-O47,0)</f>
        <v>0</v>
      </c>
      <c r="P54" s="57" t="n">
        <f aca="false">MAX(-P47,0)</f>
        <v>0</v>
      </c>
      <c r="Q54" s="57" t="n">
        <f aca="false">MAX(-Q47,0)</f>
        <v>0</v>
      </c>
      <c r="R54" s="57" t="n">
        <f aca="false">MAX(-R47,0)</f>
        <v>0</v>
      </c>
      <c r="S54" s="57" t="n">
        <f aca="false">MAX(-S47,0)</f>
        <v>0</v>
      </c>
      <c r="T54" s="57" t="n">
        <f aca="false">MAX(-T47,0)</f>
        <v>0</v>
      </c>
      <c r="U54" s="57" t="n">
        <f aca="false">MAX(-U47,0)</f>
        <v>0</v>
      </c>
      <c r="V54" s="57" t="n">
        <f aca="false">MAX(-V47,0)</f>
        <v>0</v>
      </c>
      <c r="W54" s="57" t="n">
        <f aca="false">MAX(-W47,0)</f>
        <v>0</v>
      </c>
      <c r="X54" s="57" t="n">
        <f aca="false">MAX(-X47,0)</f>
        <v>0</v>
      </c>
      <c r="Y54" s="57" t="n">
        <f aca="false">MAX(-Y47,0)</f>
        <v>0</v>
      </c>
      <c r="Z54" s="57" t="n">
        <f aca="false">MAX(-Z47,0)</f>
        <v>0</v>
      </c>
      <c r="AA54" s="57" t="n">
        <f aca="false">MAX(-AA47,0)</f>
        <v>0</v>
      </c>
      <c r="AB54" s="57" t="n">
        <f aca="false">MAX(-AB47,0)</f>
        <v>0</v>
      </c>
      <c r="AC54" s="57" t="n">
        <f aca="false">MAX(-AC47,0)</f>
        <v>0</v>
      </c>
      <c r="AD54" s="57" t="n">
        <f aca="false">MAX(-AD47,0)</f>
        <v>0</v>
      </c>
      <c r="AE54" s="57" t="n">
        <f aca="false">MAX(-AE47,0)</f>
        <v>0</v>
      </c>
      <c r="AF54" s="57" t="n">
        <f aca="false">MAX(-AF47,0)</f>
        <v>0</v>
      </c>
      <c r="AG54" s="57" t="n">
        <f aca="false">MAX(-AG47,0)</f>
        <v>0</v>
      </c>
      <c r="AH54" s="57" t="n">
        <f aca="false">MAX(-AH47,0)</f>
        <v>0</v>
      </c>
      <c r="AI54" s="57" t="n">
        <f aca="false">MAX(-AI47,0)</f>
        <v>0</v>
      </c>
      <c r="AJ54" s="57" t="n">
        <f aca="false">MAX(-AJ47,0)</f>
        <v>0</v>
      </c>
      <c r="AK54" s="57" t="n">
        <f aca="false">MAX(-AK47,0)</f>
        <v>0</v>
      </c>
      <c r="AL54" s="57" t="n">
        <f aca="false">MAX(-AL47,0)</f>
        <v>0</v>
      </c>
      <c r="AM54" s="57" t="n">
        <f aca="false">MAX(-AM47,0)</f>
        <v>0</v>
      </c>
      <c r="AN54" s="57" t="n">
        <f aca="false">MAX(-AN47,0)</f>
        <v>0</v>
      </c>
      <c r="AO54" s="57" t="n">
        <f aca="false">MAX(-AO47,0)</f>
        <v>0</v>
      </c>
      <c r="AP54" s="57" t="n">
        <f aca="false">MAX(-AP47,0)</f>
        <v>0</v>
      </c>
      <c r="AQ54" s="57" t="n">
        <f aca="false">MAX(-AQ47,0)</f>
        <v>0</v>
      </c>
      <c r="AR54" s="57" t="n">
        <f aca="false">MAX(-AR47,0)</f>
        <v>0</v>
      </c>
      <c r="AS54" s="57" t="n">
        <f aca="false">MAX(-AS47,0)</f>
        <v>0</v>
      </c>
      <c r="AT54" s="57" t="n">
        <f aca="false">MAX(-AT47,0)</f>
        <v>0</v>
      </c>
      <c r="AU54" s="57" t="n">
        <f aca="false">MAX(-AU47,0)</f>
        <v>0</v>
      </c>
      <c r="AV54" s="57" t="n">
        <f aca="false">MAX(-AV47,0)</f>
        <v>0</v>
      </c>
      <c r="AW54" s="57" t="n">
        <f aca="false">MAX(-AW47,0)</f>
        <v>0</v>
      </c>
      <c r="AX54" s="57" t="n">
        <f aca="false">MAX(-AX47,0)</f>
        <v>0</v>
      </c>
      <c r="AY54" s="57" t="n">
        <f aca="false">MAX(-AY47,0)</f>
        <v>0</v>
      </c>
      <c r="AZ54" s="57" t="n">
        <f aca="false">MAX(-AZ47,0)</f>
        <v>0</v>
      </c>
      <c r="BA54" s="57" t="n">
        <f aca="false">MAX(-BA47,0)</f>
        <v>0</v>
      </c>
      <c r="BB54" s="57" t="n">
        <f aca="false">MAX(-BB47,0)</f>
        <v>0</v>
      </c>
      <c r="BC54" s="57" t="n">
        <f aca="false">MAX(-BC47,0)</f>
        <v>0</v>
      </c>
      <c r="BD54" s="57" t="n">
        <f aca="false">MAX(-BD47,0)</f>
        <v>0</v>
      </c>
      <c r="BE54" s="57" t="n">
        <f aca="false">MAX(-BE47,0)</f>
        <v>0</v>
      </c>
      <c r="BF54" s="57" t="n">
        <f aca="false">MAX(-BF47,0)</f>
        <v>0</v>
      </c>
      <c r="BG54" s="57" t="n">
        <f aca="false">MAX(-BG47,0)</f>
        <v>0</v>
      </c>
      <c r="BH54" s="57" t="n">
        <f aca="false">MAX(-BH47,0)</f>
        <v>0</v>
      </c>
      <c r="BI54" s="57" t="n">
        <f aca="false">MAX(-BI47,0)</f>
        <v>0</v>
      </c>
      <c r="BJ54" s="57" t="n">
        <f aca="false">MAX(-BJ47,0)</f>
        <v>0</v>
      </c>
      <c r="BK54" s="57" t="n">
        <f aca="false">MAX(-BK47,0)</f>
        <v>0</v>
      </c>
      <c r="BL54" s="57" t="n">
        <f aca="false">MAX(-BL47,0)</f>
        <v>0</v>
      </c>
      <c r="BM54" s="57" t="n">
        <f aca="false">MAX(-BM47,0)</f>
        <v>0</v>
      </c>
      <c r="BN54" s="57" t="n">
        <f aca="false">MAX(-BN47,0)</f>
        <v>0</v>
      </c>
      <c r="BO54" s="57" t="n">
        <f aca="false">MAX(-BO47,0)</f>
        <v>0</v>
      </c>
      <c r="BP54" s="57" t="n">
        <f aca="false">MAX(-BP47,0)</f>
        <v>0</v>
      </c>
      <c r="BQ54" s="57" t="n">
        <f aca="false">MAX(-BQ47,0)</f>
        <v>0</v>
      </c>
      <c r="BR54" s="57" t="n">
        <f aca="false">MAX(-BR47,0)</f>
        <v>0</v>
      </c>
      <c r="BS54" s="57" t="n">
        <f aca="false">MAX(-BS47,0)</f>
        <v>0</v>
      </c>
      <c r="BT54" s="57" t="n">
        <f aca="false">MAX(-BT47,0)</f>
        <v>0</v>
      </c>
      <c r="BU54" s="57" t="n">
        <f aca="false">MAX(-BU47,0)</f>
        <v>0</v>
      </c>
      <c r="BV54" s="57" t="n">
        <f aca="false">MAX(-BV47,0)</f>
        <v>0</v>
      </c>
      <c r="BW54" s="57" t="n">
        <f aca="false">MAX(-BW47,0)</f>
        <v>0</v>
      </c>
      <c r="BX54" s="57" t="n">
        <f aca="false">MAX(-BX47,0)</f>
        <v>0</v>
      </c>
      <c r="BY54" s="57" t="n">
        <f aca="false">MAX(-BY47,0)</f>
        <v>0</v>
      </c>
      <c r="BZ54" s="57" t="n">
        <f aca="false">MAX(-BZ47,0)</f>
        <v>0</v>
      </c>
      <c r="CA54" s="57" t="n">
        <f aca="false">MAX(-CA47,0)</f>
        <v>0</v>
      </c>
      <c r="CB54" s="57" t="n">
        <f aca="false">MAX(-CB47,0)</f>
        <v>0</v>
      </c>
      <c r="CC54" s="57" t="n">
        <f aca="false">MAX(-CC47,0)</f>
        <v>0</v>
      </c>
      <c r="CD54" s="57" t="n">
        <f aca="false">MAX(-CD47,0)</f>
        <v>0</v>
      </c>
      <c r="CE54" s="57" t="n">
        <f aca="false">MAX(-CE47,0)</f>
        <v>0</v>
      </c>
      <c r="CF54" s="57" t="n">
        <f aca="false">MAX(-CF47,0)</f>
        <v>0</v>
      </c>
      <c r="CG54" s="57" t="n">
        <f aca="false">MAX(-CG47,0)</f>
        <v>0</v>
      </c>
      <c r="CH54" s="57" t="n">
        <f aca="false">MAX(-CH47,0)</f>
        <v>0</v>
      </c>
      <c r="CI54" s="57" t="n">
        <f aca="false">MAX(-CI47,0)</f>
        <v>0</v>
      </c>
      <c r="CJ54" s="57" t="n">
        <f aca="false">MAX(-CJ47,0)</f>
        <v>0</v>
      </c>
      <c r="CK54" s="57" t="n">
        <f aca="false">MAX(-CK47,0)</f>
        <v>0</v>
      </c>
      <c r="CL54" s="57" t="n">
        <f aca="false">MAX(-CL47,0)</f>
        <v>0</v>
      </c>
      <c r="CM54" s="57" t="n">
        <f aca="false">MAX(-CM47,0)</f>
        <v>0</v>
      </c>
      <c r="CN54" s="57" t="n">
        <f aca="false">MAX(-CN47,0)</f>
        <v>0</v>
      </c>
      <c r="CO54" s="57" t="n">
        <f aca="false">MAX(-CO47,0)</f>
        <v>0</v>
      </c>
      <c r="CP54" s="57" t="n">
        <f aca="false">MAX(-CP47,0)</f>
        <v>0</v>
      </c>
      <c r="CQ54" s="57" t="n">
        <f aca="false">MAX(-CQ47,0)</f>
        <v>0</v>
      </c>
      <c r="CR54" s="57" t="n">
        <f aca="false">MAX(-CR47,0)</f>
        <v>0</v>
      </c>
      <c r="CS54" s="57" t="n">
        <f aca="false">MAX(-CS47,0)</f>
        <v>0</v>
      </c>
      <c r="CT54" s="57" t="n">
        <f aca="false">MAX(-CT47,0)</f>
        <v>0</v>
      </c>
    </row>
    <row r="55" customFormat="false" ht="15" hidden="false" customHeight="true" outlineLevel="0" collapsed="false">
      <c r="B55" s="19" t="s">
        <v>629</v>
      </c>
      <c r="C55" s="69" t="str">
        <f aca="false">IF(C47&lt;0,"USA AFECTADOS","")</f>
        <v/>
      </c>
      <c r="D55" s="69" t="str">
        <f aca="false">IF(D47&lt;0,"USA AFECTADOS","")</f>
        <v/>
      </c>
      <c r="E55" s="69" t="str">
        <f aca="false">IF(E47&lt;0,"USA AFECTADOS","")</f>
        <v/>
      </c>
      <c r="F55" s="69" t="str">
        <f aca="false">IF(F47&lt;0,"USA AFECTADOS","")</f>
        <v/>
      </c>
      <c r="G55" s="69" t="str">
        <f aca="false">IF(G47&lt;0,"USA AFECTADOS","")</f>
        <v/>
      </c>
      <c r="H55" s="69" t="str">
        <f aca="false">IF(H47&lt;0,"USA AFECTADOS","")</f>
        <v/>
      </c>
      <c r="I55" s="69" t="str">
        <f aca="false">IF(I47&lt;0,"USA AFECTADOS","")</f>
        <v/>
      </c>
      <c r="J55" s="69" t="str">
        <f aca="false">IF(J47&lt;0,"USA AFECTADOS","")</f>
        <v/>
      </c>
      <c r="K55" s="69" t="str">
        <f aca="false">IF(K47&lt;0,"USA AFECTADOS","")</f>
        <v/>
      </c>
      <c r="L55" s="69" t="str">
        <f aca="false">IF(L47&lt;0,"USA AFECTADOS","")</f>
        <v/>
      </c>
      <c r="M55" s="69" t="str">
        <f aca="false">IF(M47&lt;0,"USA AFECTADOS","")</f>
        <v/>
      </c>
      <c r="N55" s="69" t="str">
        <f aca="false">IF(N47&lt;0,"USA AFECTADOS","")</f>
        <v/>
      </c>
      <c r="O55" s="69" t="str">
        <f aca="false">IF(O47&lt;0,"USA AFECTADOS","")</f>
        <v/>
      </c>
      <c r="P55" s="69" t="str">
        <f aca="false">IF(P47&lt;0,"USA AFECTADOS","")</f>
        <v/>
      </c>
      <c r="Q55" s="69" t="str">
        <f aca="false">IF(Q47&lt;0,"USA AFECTADOS","")</f>
        <v/>
      </c>
      <c r="R55" s="69" t="str">
        <f aca="false">IF(R47&lt;0,"USA AFECTADOS","")</f>
        <v/>
      </c>
      <c r="S55" s="69" t="str">
        <f aca="false">IF(S47&lt;0,"USA AFECTADOS","")</f>
        <v/>
      </c>
      <c r="T55" s="69" t="str">
        <f aca="false">IF(T47&lt;0,"USA AFECTADOS","")</f>
        <v/>
      </c>
      <c r="U55" s="69" t="str">
        <f aca="false">IF(U47&lt;0,"USA AFECTADOS","")</f>
        <v/>
      </c>
      <c r="V55" s="69" t="str">
        <f aca="false">IF(V47&lt;0,"USA AFECTADOS","")</f>
        <v/>
      </c>
      <c r="W55" s="69" t="str">
        <f aca="false">IF(W47&lt;0,"USA AFECTADOS","")</f>
        <v/>
      </c>
      <c r="X55" s="69" t="str">
        <f aca="false">IF(X47&lt;0,"USA AFECTADOS","")</f>
        <v/>
      </c>
      <c r="Y55" s="69" t="str">
        <f aca="false">IF(Y47&lt;0,"USA AFECTADOS","")</f>
        <v/>
      </c>
      <c r="Z55" s="69" t="str">
        <f aca="false">IF(Z47&lt;0,"USA AFECTADOS","")</f>
        <v/>
      </c>
      <c r="AA55" s="69" t="str">
        <f aca="false">IF(AA47&lt;0,"USA AFECTADOS","")</f>
        <v/>
      </c>
      <c r="AB55" s="69" t="str">
        <f aca="false">IF(AB47&lt;0,"USA AFECTADOS","")</f>
        <v/>
      </c>
      <c r="AC55" s="69" t="str">
        <f aca="false">IF(AC47&lt;0,"USA AFECTADOS","")</f>
        <v/>
      </c>
      <c r="AD55" s="69" t="str">
        <f aca="false">IF(AD47&lt;0,"USA AFECTADOS","")</f>
        <v/>
      </c>
      <c r="AE55" s="69" t="str">
        <f aca="false">IF(AE47&lt;0,"USA AFECTADOS","")</f>
        <v/>
      </c>
      <c r="AF55" s="69" t="str">
        <f aca="false">IF(AF47&lt;0,"USA AFECTADOS","")</f>
        <v/>
      </c>
      <c r="AG55" s="69" t="str">
        <f aca="false">IF(AG47&lt;0,"USA AFECTADOS","")</f>
        <v/>
      </c>
      <c r="AH55" s="69" t="str">
        <f aca="false">IF(AH47&lt;0,"USA AFECTADOS","")</f>
        <v/>
      </c>
      <c r="AI55" s="69" t="str">
        <f aca="false">IF(AI47&lt;0,"USA AFECTADOS","")</f>
        <v/>
      </c>
      <c r="AJ55" s="69" t="str">
        <f aca="false">IF(AJ47&lt;0,"USA AFECTADOS","")</f>
        <v/>
      </c>
      <c r="AK55" s="69" t="str">
        <f aca="false">IF(AK47&lt;0,"USA AFECTADOS","")</f>
        <v/>
      </c>
      <c r="AL55" s="69" t="str">
        <f aca="false">IF(AL47&lt;0,"USA AFECTADOS","")</f>
        <v/>
      </c>
      <c r="AM55" s="69" t="str">
        <f aca="false">IF(AM47&lt;0,"USA AFECTADOS","")</f>
        <v/>
      </c>
      <c r="AN55" s="69" t="str">
        <f aca="false">IF(AN47&lt;0,"USA AFECTADOS","")</f>
        <v/>
      </c>
      <c r="AO55" s="69" t="str">
        <f aca="false">IF(AO47&lt;0,"USA AFECTADOS","")</f>
        <v/>
      </c>
      <c r="AP55" s="69" t="str">
        <f aca="false">IF(AP47&lt;0,"USA AFECTADOS","")</f>
        <v/>
      </c>
      <c r="AQ55" s="69" t="str">
        <f aca="false">IF(AQ47&lt;0,"USA AFECTADOS","")</f>
        <v/>
      </c>
      <c r="AR55" s="69" t="str">
        <f aca="false">IF(AR47&lt;0,"USA AFECTADOS","")</f>
        <v/>
      </c>
      <c r="AS55" s="69" t="str">
        <f aca="false">IF(AS47&lt;0,"USA AFECTADOS","")</f>
        <v/>
      </c>
      <c r="AT55" s="69" t="str">
        <f aca="false">IF(AT47&lt;0,"USA AFECTADOS","")</f>
        <v/>
      </c>
      <c r="AU55" s="69" t="str">
        <f aca="false">IF(AU47&lt;0,"USA AFECTADOS","")</f>
        <v/>
      </c>
      <c r="AV55" s="69" t="str">
        <f aca="false">IF(AV47&lt;0,"USA AFECTADOS","")</f>
        <v/>
      </c>
      <c r="AW55" s="69" t="str">
        <f aca="false">IF(AW47&lt;0,"USA AFECTADOS","")</f>
        <v/>
      </c>
      <c r="AX55" s="69" t="str">
        <f aca="false">IF(AX47&lt;0,"USA AFECTADOS","")</f>
        <v/>
      </c>
      <c r="AY55" s="69" t="str">
        <f aca="false">IF(AY47&lt;0,"USA AFECTADOS","")</f>
        <v/>
      </c>
      <c r="AZ55" s="69" t="str">
        <f aca="false">IF(AZ47&lt;0,"USA AFECTADOS","")</f>
        <v/>
      </c>
      <c r="BA55" s="69" t="str">
        <f aca="false">IF(BA47&lt;0,"USA AFECTADOS","")</f>
        <v/>
      </c>
      <c r="BB55" s="69" t="str">
        <f aca="false">IF(BB47&lt;0,"USA AFECTADOS","")</f>
        <v/>
      </c>
      <c r="BC55" s="69" t="str">
        <f aca="false">IF(BC47&lt;0,"USA AFECTADOS","")</f>
        <v/>
      </c>
      <c r="BD55" s="69" t="str">
        <f aca="false">IF(BD47&lt;0,"USA AFECTADOS","")</f>
        <v/>
      </c>
      <c r="BE55" s="69" t="str">
        <f aca="false">IF(BE47&lt;0,"USA AFECTADOS","")</f>
        <v/>
      </c>
      <c r="BF55" s="69" t="str">
        <f aca="false">IF(BF47&lt;0,"USA AFECTADOS","")</f>
        <v/>
      </c>
      <c r="BG55" s="69" t="str">
        <f aca="false">IF(BG47&lt;0,"USA AFECTADOS","")</f>
        <v/>
      </c>
      <c r="BH55" s="69" t="str">
        <f aca="false">IF(BH47&lt;0,"USA AFECTADOS","")</f>
        <v/>
      </c>
      <c r="BI55" s="69" t="str">
        <f aca="false">IF(BI47&lt;0,"USA AFECTADOS","")</f>
        <v/>
      </c>
      <c r="BJ55" s="69" t="str">
        <f aca="false">IF(BJ47&lt;0,"USA AFECTADOS","")</f>
        <v/>
      </c>
      <c r="BK55" s="69" t="str">
        <f aca="false">IF(BK47&lt;0,"USA AFECTADOS","")</f>
        <v/>
      </c>
      <c r="BL55" s="69" t="str">
        <f aca="false">IF(BL47&lt;0,"USA AFECTADOS","")</f>
        <v/>
      </c>
      <c r="BM55" s="69" t="str">
        <f aca="false">IF(BM47&lt;0,"USA AFECTADOS","")</f>
        <v/>
      </c>
      <c r="BN55" s="69" t="str">
        <f aca="false">IF(BN47&lt;0,"USA AFECTADOS","")</f>
        <v/>
      </c>
      <c r="BO55" s="69" t="str">
        <f aca="false">IF(BO47&lt;0,"USA AFECTADOS","")</f>
        <v/>
      </c>
      <c r="BP55" s="69" t="str">
        <f aca="false">IF(BP47&lt;0,"USA AFECTADOS","")</f>
        <v/>
      </c>
      <c r="BQ55" s="69" t="str">
        <f aca="false">IF(BQ47&lt;0,"USA AFECTADOS","")</f>
        <v/>
      </c>
      <c r="BR55" s="69" t="str">
        <f aca="false">IF(BR47&lt;0,"USA AFECTADOS","")</f>
        <v/>
      </c>
      <c r="BS55" s="69" t="str">
        <f aca="false">IF(BS47&lt;0,"USA AFECTADOS","")</f>
        <v/>
      </c>
      <c r="BT55" s="69" t="str">
        <f aca="false">IF(BT47&lt;0,"USA AFECTADOS","")</f>
        <v/>
      </c>
      <c r="BU55" s="69" t="str">
        <f aca="false">IF(BU47&lt;0,"USA AFECTADOS","")</f>
        <v/>
      </c>
      <c r="BV55" s="69" t="str">
        <f aca="false">IF(BV47&lt;0,"USA AFECTADOS","")</f>
        <v/>
      </c>
      <c r="BW55" s="69" t="str">
        <f aca="false">IF(BW47&lt;0,"USA AFECTADOS","")</f>
        <v/>
      </c>
      <c r="BX55" s="69" t="str">
        <f aca="false">IF(BX47&lt;0,"USA AFECTADOS","")</f>
        <v/>
      </c>
      <c r="BY55" s="69" t="str">
        <f aca="false">IF(BY47&lt;0,"USA AFECTADOS","")</f>
        <v/>
      </c>
      <c r="BZ55" s="69" t="str">
        <f aca="false">IF(BZ47&lt;0,"USA AFECTADOS","")</f>
        <v/>
      </c>
      <c r="CA55" s="69" t="str">
        <f aca="false">IF(CA47&lt;0,"USA AFECTADOS","")</f>
        <v/>
      </c>
      <c r="CB55" s="69" t="str">
        <f aca="false">IF(CB47&lt;0,"USA AFECTADOS","")</f>
        <v/>
      </c>
      <c r="CC55" s="69" t="str">
        <f aca="false">IF(CC47&lt;0,"USA AFECTADOS","")</f>
        <v/>
      </c>
      <c r="CD55" s="69" t="str">
        <f aca="false">IF(CD47&lt;0,"USA AFECTADOS","")</f>
        <v/>
      </c>
      <c r="CE55" s="69" t="str">
        <f aca="false">IF(CE47&lt;0,"USA AFECTADOS","")</f>
        <v/>
      </c>
      <c r="CF55" s="69" t="str">
        <f aca="false">IF(CF47&lt;0,"USA AFECTADOS","")</f>
        <v/>
      </c>
      <c r="CG55" s="69" t="str">
        <f aca="false">IF(CG47&lt;0,"USA AFECTADOS","")</f>
        <v/>
      </c>
      <c r="CH55" s="69" t="str">
        <f aca="false">IF(CH47&lt;0,"USA AFECTADOS","")</f>
        <v/>
      </c>
      <c r="CI55" s="69" t="str">
        <f aca="false">IF(CI47&lt;0,"USA AFECTADOS","")</f>
        <v/>
      </c>
      <c r="CJ55" s="69" t="str">
        <f aca="false">IF(CJ47&lt;0,"USA AFECTADOS","")</f>
        <v/>
      </c>
      <c r="CK55" s="69" t="str">
        <f aca="false">IF(CK47&lt;0,"USA AFECTADOS","")</f>
        <v/>
      </c>
      <c r="CL55" s="69" t="str">
        <f aca="false">IF(CL47&lt;0,"USA AFECTADOS","")</f>
        <v/>
      </c>
      <c r="CM55" s="69" t="str">
        <f aca="false">IF(CM47&lt;0,"USA AFECTADOS","")</f>
        <v/>
      </c>
      <c r="CN55" s="69" t="str">
        <f aca="false">IF(CN47&lt;0,"USA AFECTADOS","")</f>
        <v/>
      </c>
      <c r="CO55" s="69" t="str">
        <f aca="false">IF(CO47&lt;0,"USA AFECTADOS","")</f>
        <v/>
      </c>
      <c r="CP55" s="69" t="str">
        <f aca="false">IF(CP47&lt;0,"USA AFECTADOS","")</f>
        <v/>
      </c>
      <c r="CQ55" s="69" t="str">
        <f aca="false">IF(CQ47&lt;0,"USA AFECTADOS","")</f>
        <v/>
      </c>
      <c r="CR55" s="69" t="str">
        <f aca="false">IF(CR47&lt;0,"USA AFECTADOS","")</f>
        <v/>
      </c>
      <c r="CS55" s="69" t="str">
        <f aca="false">IF(CS47&lt;0,"USA AFECTADOS","")</f>
        <v/>
      </c>
      <c r="CT55" s="69" t="str">
        <f aca="false">IF(CT47&lt;0,"USA AFECTADOS","")</f>
        <v/>
      </c>
    </row>
    <row r="56" customFormat="false" ht="15" hidden="false" customHeight="true" outlineLevel="0" collapsed="false">
      <c r="B56" s="19" t="s">
        <v>630</v>
      </c>
      <c r="C56" s="57" t="n">
        <f aca="false">0</f>
        <v>0</v>
      </c>
      <c r="D56" s="57" t="n">
        <f aca="false">C56+D40-D41</f>
        <v>0</v>
      </c>
      <c r="E56" s="57" t="n">
        <f aca="false">D56+E40-E41</f>
        <v>0</v>
      </c>
      <c r="F56" s="57" t="n">
        <f aca="false">E56+F40-F41</f>
        <v>0</v>
      </c>
      <c r="G56" s="57" t="n">
        <f aca="false">F56+G40-G41</f>
        <v>0</v>
      </c>
      <c r="H56" s="57" t="n">
        <f aca="false">G56+H40-H41</f>
        <v>0</v>
      </c>
      <c r="I56" s="57" t="n">
        <f aca="false">H56+I40-I41</f>
        <v>0</v>
      </c>
      <c r="J56" s="57" t="n">
        <f aca="false">I56+J40-J41</f>
        <v>0</v>
      </c>
      <c r="K56" s="57" t="n">
        <f aca="false">J56+K40-K41</f>
        <v>0</v>
      </c>
      <c r="L56" s="57" t="n">
        <f aca="false">K56+L40-L41</f>
        <v>0</v>
      </c>
      <c r="M56" s="57" t="n">
        <f aca="false">L56+M40-M41</f>
        <v>0</v>
      </c>
      <c r="N56" s="57" t="n">
        <f aca="false">M56+N40-N41</f>
        <v>0</v>
      </c>
      <c r="O56" s="57" t="n">
        <f aca="false">N56+O40-O41</f>
        <v>0</v>
      </c>
      <c r="P56" s="57" t="n">
        <f aca="false">O56+P40-P41</f>
        <v>0</v>
      </c>
      <c r="Q56" s="57" t="n">
        <f aca="false">P56+Q40-Q41</f>
        <v>0</v>
      </c>
      <c r="R56" s="57" t="n">
        <f aca="false">Q56+R40-R41</f>
        <v>0</v>
      </c>
      <c r="S56" s="57" t="n">
        <f aca="false">R56+S40-S41</f>
        <v>0</v>
      </c>
      <c r="T56" s="57" t="n">
        <f aca="false">S56+T40-T41</f>
        <v>0</v>
      </c>
      <c r="U56" s="57" t="n">
        <f aca="false">T56+U40-U41</f>
        <v>0</v>
      </c>
      <c r="V56" s="57" t="n">
        <f aca="false">U56+V40-V41</f>
        <v>0</v>
      </c>
      <c r="W56" s="57" t="n">
        <f aca="false">V56+W40-W41</f>
        <v>0</v>
      </c>
      <c r="X56" s="57" t="n">
        <f aca="false">W56+X40-X41</f>
        <v>0</v>
      </c>
      <c r="Y56" s="57" t="n">
        <f aca="false">X56+Y40-Y41</f>
        <v>0</v>
      </c>
      <c r="Z56" s="57" t="n">
        <f aca="false">Y56+Z40-Z41</f>
        <v>0</v>
      </c>
      <c r="AA56" s="57" t="n">
        <f aca="false">Z56+AA40-AA41</f>
        <v>0</v>
      </c>
      <c r="AB56" s="57" t="n">
        <f aca="false">AA56+AB40-AB41</f>
        <v>0</v>
      </c>
      <c r="AC56" s="57" t="n">
        <f aca="false">AB56+AC40-AC41</f>
        <v>0</v>
      </c>
      <c r="AD56" s="57" t="n">
        <f aca="false">AC56+AD40-AD41</f>
        <v>0</v>
      </c>
      <c r="AE56" s="57" t="n">
        <f aca="false">AD56+AE40-AE41</f>
        <v>0</v>
      </c>
      <c r="AF56" s="57" t="n">
        <f aca="false">AE56+AF40-AF41</f>
        <v>0</v>
      </c>
      <c r="AG56" s="57" t="n">
        <f aca="false">AF56+AG40-AG41</f>
        <v>0</v>
      </c>
      <c r="AH56" s="57" t="n">
        <f aca="false">AG56+AH40-AH41</f>
        <v>0</v>
      </c>
      <c r="AI56" s="57" t="n">
        <f aca="false">AH56+AI40-AI41</f>
        <v>0</v>
      </c>
      <c r="AJ56" s="57" t="n">
        <f aca="false">AI56+AJ40-AJ41</f>
        <v>0</v>
      </c>
      <c r="AK56" s="57" t="n">
        <f aca="false">AJ56+AK40-AK41</f>
        <v>0</v>
      </c>
      <c r="AL56" s="57" t="n">
        <f aca="false">AK56+AL40-AL41</f>
        <v>0</v>
      </c>
      <c r="AM56" s="57" t="n">
        <f aca="false">AL56+AM40-AM41</f>
        <v>0</v>
      </c>
      <c r="AN56" s="57" t="n">
        <f aca="false">AM56+AN40-AN41</f>
        <v>0</v>
      </c>
      <c r="AO56" s="57" t="n">
        <f aca="false">AN56+AO40-AO41</f>
        <v>0</v>
      </c>
      <c r="AP56" s="57" t="n">
        <f aca="false">AO56+AP40-AP41</f>
        <v>0</v>
      </c>
      <c r="AQ56" s="57" t="n">
        <f aca="false">AP56+AQ40-AQ41</f>
        <v>0</v>
      </c>
      <c r="AR56" s="57" t="n">
        <f aca="false">AQ56+AR40-AR41</f>
        <v>0</v>
      </c>
      <c r="AS56" s="57" t="n">
        <f aca="false">AR56+AS40-AS41</f>
        <v>0</v>
      </c>
      <c r="AT56" s="57" t="n">
        <f aca="false">AS56+AT40-AT41</f>
        <v>0</v>
      </c>
      <c r="AU56" s="57" t="n">
        <f aca="false">AT56+AU40-AU41</f>
        <v>0</v>
      </c>
      <c r="AV56" s="57" t="n">
        <f aca="false">AU56+AV40-AV41</f>
        <v>0</v>
      </c>
      <c r="AW56" s="57" t="n">
        <f aca="false">AV56+AW40-AW41</f>
        <v>0</v>
      </c>
      <c r="AX56" s="57" t="n">
        <f aca="false">AW56+AX40-AX41</f>
        <v>0</v>
      </c>
      <c r="AY56" s="57" t="n">
        <f aca="false">AX56+AY40-AY41</f>
        <v>0</v>
      </c>
      <c r="AZ56" s="57" t="n">
        <f aca="false">AY56+AZ40-AZ41</f>
        <v>0</v>
      </c>
      <c r="BA56" s="57" t="n">
        <f aca="false">AZ56+BA40-BA41</f>
        <v>0</v>
      </c>
      <c r="BB56" s="57" t="n">
        <f aca="false">BA56+BB40-BB41</f>
        <v>0</v>
      </c>
      <c r="BC56" s="57" t="n">
        <f aca="false">BB56+BC40-BC41</f>
        <v>0</v>
      </c>
      <c r="BD56" s="57" t="n">
        <f aca="false">BC56+BD40-BD41</f>
        <v>0</v>
      </c>
      <c r="BE56" s="57" t="n">
        <f aca="false">BD56+BE40-BE41</f>
        <v>0</v>
      </c>
      <c r="BF56" s="57" t="n">
        <f aca="false">BE56+BF40-BF41</f>
        <v>0</v>
      </c>
      <c r="BG56" s="57" t="n">
        <f aca="false">BF56+BG40-BG41</f>
        <v>0</v>
      </c>
      <c r="BH56" s="57" t="n">
        <f aca="false">BG56+BH40-BH41</f>
        <v>0</v>
      </c>
      <c r="BI56" s="57" t="n">
        <f aca="false">BH56+BI40-BI41</f>
        <v>0</v>
      </c>
      <c r="BJ56" s="57" t="n">
        <f aca="false">BI56+BJ40-BJ41</f>
        <v>0</v>
      </c>
      <c r="BK56" s="57" t="n">
        <f aca="false">BJ56+BK40-BK41</f>
        <v>0</v>
      </c>
      <c r="BL56" s="57" t="n">
        <f aca="false">BK56+BL40-BL41</f>
        <v>0</v>
      </c>
      <c r="BM56" s="57" t="n">
        <f aca="false">BL56+BM40-BM41</f>
        <v>0</v>
      </c>
      <c r="BN56" s="57" t="n">
        <f aca="false">BM56+BN40-BN41</f>
        <v>0</v>
      </c>
      <c r="BO56" s="57" t="n">
        <f aca="false">BN56+BO40-BO41</f>
        <v>0</v>
      </c>
      <c r="BP56" s="57" t="n">
        <f aca="false">BO56+BP40-BP41</f>
        <v>0</v>
      </c>
      <c r="BQ56" s="57" t="n">
        <f aca="false">BP56+BQ40-BQ41</f>
        <v>0</v>
      </c>
      <c r="BR56" s="57" t="n">
        <f aca="false">BQ56+BR40-BR41</f>
        <v>0</v>
      </c>
      <c r="BS56" s="57" t="n">
        <f aca="false">BR56+BS40-BS41</f>
        <v>0</v>
      </c>
      <c r="BT56" s="57" t="n">
        <f aca="false">BS56+BT40-BT41</f>
        <v>0</v>
      </c>
      <c r="BU56" s="57" t="n">
        <f aca="false">BT56+BU40-BU41</f>
        <v>0</v>
      </c>
      <c r="BV56" s="57" t="n">
        <f aca="false">BU56+BV40-BV41</f>
        <v>0</v>
      </c>
      <c r="BW56" s="57" t="n">
        <f aca="false">BV56+BW40-BW41</f>
        <v>0</v>
      </c>
      <c r="BX56" s="57" t="n">
        <f aca="false">BW56+BX40-BX41</f>
        <v>0</v>
      </c>
      <c r="BY56" s="57" t="n">
        <f aca="false">BX56+BY40-BY41</f>
        <v>0</v>
      </c>
      <c r="BZ56" s="57" t="n">
        <f aca="false">BY56+BZ40-BZ41</f>
        <v>0</v>
      </c>
      <c r="CA56" s="57" t="n">
        <f aca="false">BZ56+CA40-CA41</f>
        <v>0</v>
      </c>
      <c r="CB56" s="57" t="n">
        <f aca="false">CA56+CB40-CB41</f>
        <v>0</v>
      </c>
      <c r="CC56" s="57" t="n">
        <f aca="false">CB56+CC40-CC41</f>
        <v>0</v>
      </c>
      <c r="CD56" s="57" t="n">
        <f aca="false">CC56+CD40-CD41</f>
        <v>0</v>
      </c>
      <c r="CE56" s="57" t="n">
        <f aca="false">CD56+CE40-CE41</f>
        <v>0</v>
      </c>
      <c r="CF56" s="57" t="n">
        <f aca="false">CE56+CF40-CF41</f>
        <v>0</v>
      </c>
      <c r="CG56" s="57" t="n">
        <f aca="false">CF56+CG40-CG41</f>
        <v>0</v>
      </c>
      <c r="CH56" s="57" t="n">
        <f aca="false">CG56+CH40-CH41</f>
        <v>0</v>
      </c>
      <c r="CI56" s="57" t="n">
        <f aca="false">CH56+CI40-CI41</f>
        <v>0</v>
      </c>
      <c r="CJ56" s="57" t="n">
        <f aca="false">CI56+CJ40-CJ41</f>
        <v>0</v>
      </c>
      <c r="CK56" s="57" t="n">
        <f aca="false">CJ56+CK40-CK41</f>
        <v>0</v>
      </c>
      <c r="CL56" s="57" t="n">
        <f aca="false">CK56+CL40-CL41</f>
        <v>0</v>
      </c>
      <c r="CM56" s="57" t="n">
        <f aca="false">CL56+CM40-CM41</f>
        <v>0</v>
      </c>
      <c r="CN56" s="57" t="n">
        <f aca="false">CM56+CN40-CN41</f>
        <v>0</v>
      </c>
      <c r="CO56" s="57" t="n">
        <f aca="false">CN56+CO40-CO41</f>
        <v>0</v>
      </c>
      <c r="CP56" s="57" t="n">
        <f aca="false">CO56+CP40-CP41</f>
        <v>0</v>
      </c>
      <c r="CQ56" s="57" t="n">
        <f aca="false">CP56+CQ40-CQ41</f>
        <v>0</v>
      </c>
      <c r="CR56" s="57" t="n">
        <f aca="false">CQ56+CR40-CR41</f>
        <v>0</v>
      </c>
      <c r="CS56" s="57" t="n">
        <f aca="false">CR56+CS40-CS41</f>
        <v>0</v>
      </c>
      <c r="CT56" s="57" t="n">
        <f aca="false">CS56+CT40-CT41</f>
        <v>0</v>
      </c>
    </row>
    <row r="57" customFormat="false" ht="15" hidden="false" customHeight="true" outlineLevel="0" collapsed="false">
      <c r="B57" s="19" t="s">
        <v>631</v>
      </c>
      <c r="C57" s="70" t="n">
        <f aca="false">IFERROR(C49/'Gastos objeto'!C23,0)</f>
        <v>0.874117955632786</v>
      </c>
      <c r="D57" s="70" t="n">
        <f aca="false">IFERROR(D49/'Gastos objeto'!D23,0)</f>
        <v>0.767243516623843</v>
      </c>
      <c r="E57" s="70" t="n">
        <f aca="false">IFERROR(E49/'Gastos objeto'!E23,0)</f>
        <v>1.19816816305982</v>
      </c>
      <c r="F57" s="70" t="n">
        <f aca="false">IFERROR(F49/'Gastos objeto'!F23,0)</f>
        <v>1.28107361674796</v>
      </c>
      <c r="G57" s="70" t="n">
        <f aca="false">IFERROR(G49/'Gastos objeto'!G23,0)</f>
        <v>1.00364278252363</v>
      </c>
      <c r="H57" s="70" t="n">
        <f aca="false">IFERROR(H49/'Gastos objeto'!H23,0)</f>
        <v>0.966579864969259</v>
      </c>
      <c r="I57" s="70" t="n">
        <f aca="false">IFERROR(I49/'Gastos objeto'!I23,0)</f>
        <v>1.16610341326751</v>
      </c>
      <c r="J57" s="70" t="n">
        <f aca="false">IFERROR(J49/'Gastos objeto'!J23,0)</f>
        <v>0.960615776977732</v>
      </c>
      <c r="K57" s="70" t="n">
        <f aca="false">IFERROR(K49/'Gastos objeto'!K23,0)</f>
        <v>1.14938272618645</v>
      </c>
      <c r="L57" s="70" t="n">
        <f aca="false">IFERROR(L49/'Gastos objeto'!L23,0)</f>
        <v>1.22255762075993</v>
      </c>
      <c r="M57" s="70" t="n">
        <f aca="false">IFERROR(M49/'Gastos objeto'!M23,0)</f>
        <v>0.990658521947612</v>
      </c>
      <c r="N57" s="70" t="n">
        <f aca="false">IFERROR(N49/'Gastos objeto'!N23,0)</f>
        <v>0.999957934068824</v>
      </c>
      <c r="O57" s="70" t="n">
        <f aca="false">IFERROR(O49/'Gastos objeto'!O23,0)</f>
        <v>1.49934080198963</v>
      </c>
      <c r="P57" s="70" t="n">
        <f aca="false">IFERROR(P49/'Gastos objeto'!P23,0)</f>
        <v>1.4281118918417</v>
      </c>
      <c r="Q57" s="70" t="n">
        <f aca="false">IFERROR(Q49/'Gastos objeto'!Q23,0)</f>
        <v>2.00930516922884</v>
      </c>
      <c r="R57" s="70" t="n">
        <f aca="false">IFERROR(R49/'Gastos objeto'!R23,0)</f>
        <v>2.04431283869619</v>
      </c>
      <c r="S57" s="70" t="n">
        <f aca="false">IFERROR(S49/'Gastos objeto'!S23,0)</f>
        <v>1.64525207457207</v>
      </c>
      <c r="T57" s="70" t="n">
        <f aca="false">IFERROR(T49/'Gastos objeto'!T23,0)</f>
        <v>1.59618246002334</v>
      </c>
      <c r="U57" s="70" t="n">
        <f aca="false">IFERROR(U49/'Gastos objeto'!U23,0)</f>
        <v>1.90261267026151</v>
      </c>
      <c r="V57" s="70" t="n">
        <f aca="false">IFERROR(V49/'Gastos objeto'!V23,0)</f>
        <v>1.61867200818712</v>
      </c>
      <c r="W57" s="70" t="n">
        <f aca="false">IFERROR(W49/'Gastos objeto'!W23,0)</f>
        <v>1.91145145189273</v>
      </c>
      <c r="X57" s="70" t="n">
        <f aca="false">IFERROR(X49/'Gastos objeto'!X23,0)</f>
        <v>1.99717005644879</v>
      </c>
      <c r="Y57" s="70" t="n">
        <f aca="false">IFERROR(Y49/'Gastos objeto'!Y23,0)</f>
        <v>2.0578571452215</v>
      </c>
      <c r="Z57" s="70" t="n">
        <f aca="false">IFERROR(Z49/'Gastos objeto'!Z23,0)</f>
        <v>1.8191966601607</v>
      </c>
      <c r="AA57" s="70" t="n">
        <f aca="false">IFERROR(AA49/'Gastos objeto'!AA23,0)</f>
        <v>2.53936220158631</v>
      </c>
      <c r="AB57" s="70" t="n">
        <f aca="false">IFERROR(AB49/'Gastos objeto'!AB23,0)</f>
        <v>2.95477028771198</v>
      </c>
      <c r="AC57" s="70" t="n">
        <f aca="false">IFERROR(AC49/'Gastos objeto'!AC23,0)</f>
        <v>3.35337749676344</v>
      </c>
      <c r="AD57" s="70" t="n">
        <f aca="false">IFERROR(AD49/'Gastos objeto'!AD23,0)</f>
        <v>3.30116730154749</v>
      </c>
      <c r="AE57" s="70" t="n">
        <f aca="false">IFERROR(AE49/'Gastos objeto'!AE23,0)</f>
        <v>3.23026300803081</v>
      </c>
      <c r="AF57" s="70" t="n">
        <f aca="false">IFERROR(AF49/'Gastos objeto'!AF23,0)</f>
        <v>2.73938298882594</v>
      </c>
      <c r="AG57" s="70" t="n">
        <f aca="false">IFERROR(AG49/'Gastos objeto'!AG23,0)</f>
        <v>3.23172236532734</v>
      </c>
      <c r="AH57" s="70" t="n">
        <f aca="false">IFERROR(AH49/'Gastos objeto'!AH23,0)</f>
        <v>3.33027694736142</v>
      </c>
      <c r="AI57" s="70" t="n">
        <f aca="false">IFERROR(AI49/'Gastos objeto'!AI23,0)</f>
        <v>3.40841472443977</v>
      </c>
      <c r="AJ57" s="70" t="n">
        <f aca="false">IFERROR(AJ49/'Gastos objeto'!AJ23,0)</f>
        <v>3.50787947785715</v>
      </c>
      <c r="AK57" s="70" t="n">
        <f aca="false">IFERROR(AK49/'Gastos objeto'!AK23,0)</f>
        <v>3.57944077780812</v>
      </c>
      <c r="AL57" s="70" t="n">
        <f aca="false">IFERROR(AL49/'Gastos objeto'!AL23,0)</f>
        <v>3.15490676028491</v>
      </c>
      <c r="AM57" s="70" t="n">
        <f aca="false">IFERROR(AM49/'Gastos objeto'!AM23,0)</f>
        <v>4.17938162473123</v>
      </c>
      <c r="AN57" s="70" t="n">
        <f aca="false">IFERROR(AN49/'Gastos objeto'!AN23,0)</f>
        <v>4.74134269101761</v>
      </c>
      <c r="AO57" s="70" t="n">
        <f aca="false">IFERROR(AO49/'Gastos objeto'!AO23,0)</f>
        <v>5.19598896331222</v>
      </c>
      <c r="AP57" s="70" t="n">
        <f aca="false">IFERROR(AP49/'Gastos objeto'!AP23,0)</f>
        <v>5.01412392952633</v>
      </c>
      <c r="AQ57" s="70" t="n">
        <f aca="false">IFERROR(AQ49/'Gastos objeto'!AQ23,0)</f>
        <v>4.85625596285171</v>
      </c>
      <c r="AR57" s="70" t="n">
        <f aca="false">IFERROR(AR49/'Gastos objeto'!AR23,0)</f>
        <v>4.11563289147078</v>
      </c>
      <c r="AS57" s="70" t="n">
        <f aca="false">IFERROR(AS49/'Gastos objeto'!AS23,0)</f>
        <v>4.82288964189858</v>
      </c>
      <c r="AT57" s="70" t="n">
        <f aca="false">IFERROR(AT49/'Gastos objeto'!AT23,0)</f>
        <v>4.93017226438581</v>
      </c>
      <c r="AU57" s="70" t="n">
        <f aca="false">IFERROR(AU49/'Gastos objeto'!AU23,0)</f>
        <v>5.0167994838234</v>
      </c>
      <c r="AV57" s="70" t="n">
        <f aca="false">IFERROR(AV49/'Gastos objeto'!AV23,0)</f>
        <v>5.12500527736548</v>
      </c>
      <c r="AW57" s="70" t="n">
        <f aca="false">IFERROR(AW49/'Gastos objeto'!AW23,0)</f>
        <v>5.20239230207377</v>
      </c>
      <c r="AX57" s="70" t="n">
        <f aca="false">IFERROR(AX49/'Gastos objeto'!AX23,0)</f>
        <v>4.57544562188472</v>
      </c>
      <c r="AY57" s="70" t="n">
        <f aca="false">IFERROR(AY49/'Gastos objeto'!AY23,0)</f>
        <v>5.94149000106536</v>
      </c>
      <c r="AZ57" s="70" t="n">
        <f aca="false">IFERROR(AZ49/'Gastos objeto'!AZ23,0)</f>
        <v>6.66336249638391</v>
      </c>
      <c r="BA57" s="70" t="n">
        <f aca="false">IFERROR(BA49/'Gastos objeto'!BA23,0)</f>
        <v>7.18076216674057</v>
      </c>
      <c r="BB57" s="70" t="n">
        <f aca="false">IFERROR(BB49/'Gastos objeto'!BB23,0)</f>
        <v>6.86058859142659</v>
      </c>
      <c r="BC57" s="70" t="n">
        <f aca="false">IFERROR(BC49/'Gastos objeto'!BC23,0)</f>
        <v>6.61022841985171</v>
      </c>
      <c r="BD57" s="70" t="n">
        <f aca="false">IFERROR(BD49/'Gastos objeto'!BD23,0)</f>
        <v>5.60054107439485</v>
      </c>
      <c r="BE57" s="70" t="n">
        <f aca="false">IFERROR(BE49/'Gastos objeto'!BE23,0)</f>
        <v>6.54192117156822</v>
      </c>
      <c r="BF57" s="70" t="n">
        <f aca="false">IFERROR(BF49/'Gastos objeto'!BF23,0)</f>
        <v>6.66012851688646</v>
      </c>
      <c r="BG57" s="70" t="n">
        <f aca="false">IFERROR(BG49/'Gastos objeto'!BG23,0)</f>
        <v>6.75740342207265</v>
      </c>
      <c r="BH57" s="70" t="n">
        <f aca="false">IFERROR(BH49/'Gastos objeto'!BH23,0)</f>
        <v>6.87655191288416</v>
      </c>
      <c r="BI57" s="70" t="n">
        <f aca="false">IFERROR(BI49/'Gastos objeto'!BI23,0)</f>
        <v>6.96168869600906</v>
      </c>
      <c r="BJ57" s="70" t="n">
        <f aca="false">IFERROR(BJ49/'Gastos objeto'!BJ23,0)</f>
        <v>6.1156720705247</v>
      </c>
      <c r="BK57" s="70" t="n">
        <f aca="false">IFERROR(BK49/'Gastos objeto'!BK23,0)</f>
        <v>7.85547470146602</v>
      </c>
      <c r="BL57" s="70" t="n">
        <f aca="false">IFERROR(BL49/'Gastos objeto'!BL23,0)</f>
        <v>8.7413493024626</v>
      </c>
      <c r="BM57" s="70" t="n">
        <f aca="false">IFERROR(BM49/'Gastos objeto'!BM23,0)</f>
        <v>9.32609798679379</v>
      </c>
      <c r="BN57" s="70" t="n">
        <f aca="false">IFERROR(BN49/'Gastos objeto'!BN23,0)</f>
        <v>8.85598757635406</v>
      </c>
      <c r="BO57" s="70" t="n">
        <f aca="false">IFERROR(BO49/'Gastos objeto'!BO23,0)</f>
        <v>8.50527815464239</v>
      </c>
      <c r="BP57" s="70" t="n">
        <f aca="false">IFERROR(BP49/'Gastos objeto'!BP23,0)</f>
        <v>7.20453971496448</v>
      </c>
      <c r="BQ57" s="70" t="n">
        <f aca="false">IFERROR(BQ49/'Gastos objeto'!BQ23,0)</f>
        <v>8.39840998736876</v>
      </c>
      <c r="BR57" s="70" t="n">
        <f aca="false">IFERROR(BR49/'Gastos objeto'!BR23,0)</f>
        <v>8.52802309822432</v>
      </c>
      <c r="BS57" s="70" t="n">
        <f aca="false">IFERROR(BS49/'Gastos objeto'!BS23,0)</f>
        <v>8.63641939335769</v>
      </c>
      <c r="BT57" s="70" t="n">
        <f aca="false">IFERROR(BT49/'Gastos objeto'!BT23,0)</f>
        <v>8.76699241984146</v>
      </c>
      <c r="BU57" s="70" t="n">
        <f aca="false">IFERROR(BU49/'Gastos objeto'!BU23,0)</f>
        <v>8.86012285021993</v>
      </c>
      <c r="BV57" s="70" t="n">
        <f aca="false">IFERROR(BV49/'Gastos objeto'!BV23,0)</f>
        <v>7.77732836924528</v>
      </c>
      <c r="BW57" s="70" t="n">
        <f aca="false">IFERROR(BW49/'Gastos objeto'!BW23,0)</f>
        <v>9.91973898185968</v>
      </c>
      <c r="BX57" s="70" t="n">
        <f aca="false">IFERROR(BX49/'Gastos objeto'!BX23,0)</f>
        <v>10.982031296274</v>
      </c>
      <c r="BY57" s="70" t="n">
        <f aca="false">IFERROR(BY49/'Gastos objeto'!BY23,0)</f>
        <v>11.6389076036109</v>
      </c>
      <c r="BZ57" s="70" t="n">
        <f aca="false">IFERROR(BZ49/'Gastos objeto'!BZ23,0)</f>
        <v>11.006717731872</v>
      </c>
      <c r="CA57" s="70" t="n">
        <f aca="false">IFERROR(CA49/'Gastos objeto'!CA23,0)</f>
        <v>10.5474517841055</v>
      </c>
      <c r="CB57" s="70" t="n">
        <f aca="false">IFERROR(CB49/'Gastos objeto'!CB23,0)</f>
        <v>8.93272216052287</v>
      </c>
      <c r="CC57" s="70" t="n">
        <f aca="false">IFERROR(CC49/'Gastos objeto'!CC23,0)</f>
        <v>10.3982222236557</v>
      </c>
      <c r="CD57" s="70" t="n">
        <f aca="false">IFERROR(CD49/'Gastos objeto'!CD23,0)</f>
        <v>10.5397301943691</v>
      </c>
      <c r="CE57" s="70" t="n">
        <f aca="false">IFERROR(CE49/'Gastos objeto'!CE23,0)</f>
        <v>10.6597295384807</v>
      </c>
      <c r="CF57" s="70" t="n">
        <f aca="false">IFERROR(CF49/'Gastos objeto'!CF23,0)</f>
        <v>10.8022170039925</v>
      </c>
      <c r="CG57" s="70" t="n">
        <f aca="false">IFERROR(CG49/'Gastos objeto'!CG23,0)</f>
        <v>10.9035831789846</v>
      </c>
      <c r="CH57" s="70" t="n">
        <f aca="false">IFERROR(CH49/'Gastos objeto'!CH23,0)</f>
        <v>9.56554273039937</v>
      </c>
      <c r="CI57" s="70" t="n">
        <f aca="false">IFERROR(CI49/'Gastos objeto'!CI23,0)</f>
        <v>12.1406150367753</v>
      </c>
      <c r="CJ57" s="70" t="n">
        <f aca="false">IFERROR(CJ49/'Gastos objeto'!CJ23,0)</f>
        <v>13.3922500787737</v>
      </c>
      <c r="CK57" s="70" t="n">
        <f aca="false">IFERROR(CK49/'Gastos objeto'!CK23,0)</f>
        <v>14.1262188110611</v>
      </c>
      <c r="CL57" s="70" t="n">
        <f aca="false">IFERROR(CL49/'Gastos objeto'!CL23,0)</f>
        <v>13.3192839457534</v>
      </c>
      <c r="CM57" s="70" t="n">
        <f aca="false">IFERROR(CM49/'Gastos objeto'!CM23,0)</f>
        <v>12.7428981476884</v>
      </c>
      <c r="CN57" s="70" t="n">
        <f aca="false">IFERROR(CN49/'Gastos objeto'!CN23,0)</f>
        <v>10.7902679484474</v>
      </c>
      <c r="CO57" s="70" t="n">
        <f aca="false">IFERROR(CO49/'Gastos objeto'!CO23,0)</f>
        <v>12.5473233789267</v>
      </c>
      <c r="CP57" s="70" t="n">
        <f aca="false">IFERROR(CP49/'Gastos objeto'!CP23,0)</f>
        <v>12.7012235873971</v>
      </c>
      <c r="CQ57" s="70" t="n">
        <f aca="false">IFERROR(CQ49/'Gastos objeto'!CQ23,0)</f>
        <v>12.8333158234474</v>
      </c>
      <c r="CR57" s="70" t="n">
        <f aca="false">IFERROR(CR49/'Gastos objeto'!CR23,0)</f>
        <v>12.9882159286435</v>
      </c>
      <c r="CS57" s="70" t="n">
        <f aca="false">IFERROR(CS49/'Gastos objeto'!CS23,0)</f>
        <v>13.0980582176689</v>
      </c>
      <c r="CT57" s="70" t="n">
        <f aca="false">IFERROR(CT49/'Gastos objeto'!CT23,0)</f>
        <v>11.4855306424806</v>
      </c>
    </row>
    <row r="59" customFormat="false" ht="15" hidden="false" customHeight="true" outlineLevel="0" collapsed="false">
      <c r="B59" s="56" t="s">
        <v>632</v>
      </c>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H59" s="64"/>
      <c r="CI59" s="64"/>
      <c r="CJ59" s="64"/>
      <c r="CK59" s="64"/>
      <c r="CL59" s="64"/>
      <c r="CM59" s="64"/>
      <c r="CN59" s="64"/>
      <c r="CO59" s="64"/>
      <c r="CP59" s="64"/>
      <c r="CQ59" s="64"/>
      <c r="CR59" s="64"/>
      <c r="CS59" s="64"/>
      <c r="CT59" s="64"/>
    </row>
    <row r="60" customFormat="false" ht="15" hidden="false" customHeight="true" outlineLevel="0" collapsed="false">
      <c r="B60" s="19" t="s">
        <v>633</v>
      </c>
      <c r="C60" s="66" t="n">
        <f aca="false">Recursos!C13</f>
        <v>29065123252.3933</v>
      </c>
      <c r="D60" s="66" t="n">
        <f aca="false">Recursos!D13</f>
        <v>24941579681.7031</v>
      </c>
      <c r="E60" s="66" t="n">
        <f aca="false">Recursos!E13</f>
        <v>26153166183.8123</v>
      </c>
      <c r="F60" s="66" t="n">
        <f aca="false">Recursos!F13</f>
        <v>25630410163.3078</v>
      </c>
      <c r="G60" s="66" t="n">
        <f aca="false">Recursos!G13</f>
        <v>25107654142.8032</v>
      </c>
      <c r="H60" s="66" t="n">
        <f aca="false">Recursos!H13</f>
        <v>25630410163.3078</v>
      </c>
      <c r="I60" s="66" t="n">
        <f aca="false">Recursos!I13</f>
        <v>26153166183.8123</v>
      </c>
      <c r="J60" s="66" t="n">
        <f aca="false">Recursos!J13</f>
        <v>25630410163.3078</v>
      </c>
      <c r="K60" s="66" t="n">
        <f aca="false">Recursos!K13</f>
        <v>25107654142.8032</v>
      </c>
      <c r="L60" s="66" t="n">
        <f aca="false">Recursos!L13</f>
        <v>25630410163.3078</v>
      </c>
      <c r="M60" s="66" t="n">
        <f aca="false">Recursos!M13</f>
        <v>25107654142.8032</v>
      </c>
      <c r="N60" s="66" t="n">
        <f aca="false">Recursos!N13</f>
        <v>26260736051.5664</v>
      </c>
      <c r="O60" s="66" t="n">
        <f aca="false">Recursos!O13</f>
        <v>29673932223.1729</v>
      </c>
      <c r="P60" s="66" t="n">
        <f aca="false">Recursos!P13</f>
        <v>25418903697.3212</v>
      </c>
      <c r="Q60" s="66" t="n">
        <f aca="false">Recursos!Q13</f>
        <v>26654430628.4136</v>
      </c>
      <c r="R60" s="66" t="n">
        <f aca="false">Recursos!R13</f>
        <v>26118219829.3714</v>
      </c>
      <c r="S60" s="66" t="n">
        <f aca="false">Recursos!S13</f>
        <v>25582009030.3292</v>
      </c>
      <c r="T60" s="66" t="n">
        <f aca="false">Recursos!T13</f>
        <v>26118219829.3714</v>
      </c>
      <c r="U60" s="66" t="n">
        <f aca="false">Recursos!U13</f>
        <v>26654430628.4136</v>
      </c>
      <c r="V60" s="66" t="n">
        <f aca="false">Recursos!V13</f>
        <v>26118219829.3714</v>
      </c>
      <c r="W60" s="66" t="n">
        <f aca="false">Recursos!W13</f>
        <v>25582009030.3292</v>
      </c>
      <c r="X60" s="66" t="n">
        <f aca="false">Recursos!X13</f>
        <v>26118219829.3714</v>
      </c>
      <c r="Y60" s="66" t="n">
        <f aca="false">Recursos!Y13</f>
        <v>25582009030.3292</v>
      </c>
      <c r="Z60" s="66" t="n">
        <f aca="false">Recursos!Z13</f>
        <v>26782878094.9357</v>
      </c>
      <c r="AA60" s="66" t="n">
        <f aca="false">Recursos!AA13</f>
        <v>30084942979.4833</v>
      </c>
      <c r="AB60" s="66" t="n">
        <f aca="false">Recursos!AB13</f>
        <v>25735191580.029</v>
      </c>
      <c r="AC60" s="66" t="n">
        <f aca="false">Recursos!AC13</f>
        <v>26986605503.4079</v>
      </c>
      <c r="AD60" s="66" t="n">
        <f aca="false">Recursos!AD13</f>
        <v>26440999245.2029</v>
      </c>
      <c r="AE60" s="66" t="n">
        <f aca="false">Recursos!AE13</f>
        <v>25895392986.9979</v>
      </c>
      <c r="AF60" s="66" t="n">
        <f aca="false">Recursos!AF13</f>
        <v>26440999245.2029</v>
      </c>
      <c r="AG60" s="66" t="n">
        <f aca="false">Recursos!AG13</f>
        <v>26986605503.4079</v>
      </c>
      <c r="AH60" s="66" t="n">
        <f aca="false">Recursos!AH13</f>
        <v>26440999245.2029</v>
      </c>
      <c r="AI60" s="66" t="n">
        <f aca="false">Recursos!AI13</f>
        <v>25895392986.9979</v>
      </c>
      <c r="AJ60" s="66" t="n">
        <f aca="false">Recursos!AJ13</f>
        <v>26440999245.2029</v>
      </c>
      <c r="AK60" s="66" t="n">
        <f aca="false">Recursos!AK13</f>
        <v>25895392986.9979</v>
      </c>
      <c r="AL60" s="66" t="n">
        <f aca="false">Recursos!AL13</f>
        <v>27131708244.1909</v>
      </c>
      <c r="AM60" s="66" t="n">
        <f aca="false">Recursos!AM13</f>
        <v>30405127704.3595</v>
      </c>
      <c r="AN60" s="66" t="n">
        <f aca="false">Recursos!AN13</f>
        <v>25977758078.6076</v>
      </c>
      <c r="AO60" s="66" t="n">
        <f aca="false">Recursos!AO13</f>
        <v>27241371330.811</v>
      </c>
      <c r="AP60" s="66" t="n">
        <f aca="false">Recursos!AP13</f>
        <v>26688245330.282</v>
      </c>
      <c r="AQ60" s="66" t="n">
        <f aca="false">Recursos!AQ13</f>
        <v>26135119329.753</v>
      </c>
      <c r="AR60" s="66" t="n">
        <f aca="false">Recursos!AR13</f>
        <v>26688245330.282</v>
      </c>
      <c r="AS60" s="66" t="n">
        <f aca="false">Recursos!AS13</f>
        <v>27241371330.811</v>
      </c>
      <c r="AT60" s="66" t="n">
        <f aca="false">Recursos!AT13</f>
        <v>26688245330.282</v>
      </c>
      <c r="AU60" s="66" t="n">
        <f aca="false">Recursos!AU13</f>
        <v>26135119329.753</v>
      </c>
      <c r="AV60" s="66" t="n">
        <f aca="false">Recursos!AV13</f>
        <v>26688245330.282</v>
      </c>
      <c r="AW60" s="66" t="n">
        <f aca="false">Recursos!AW13</f>
        <v>26135119329.753</v>
      </c>
      <c r="AX60" s="66" t="n">
        <f aca="false">Recursos!AX13</f>
        <v>27401094203.4764</v>
      </c>
      <c r="AY60" s="66" t="n">
        <f aca="false">Recursos!AY13</f>
        <v>30731748195.2769</v>
      </c>
      <c r="AZ60" s="66" t="n">
        <f aca="false">Recursos!AZ13</f>
        <v>26225991304.7137</v>
      </c>
      <c r="BA60" s="66" t="n">
        <f aca="false">Recursos!BA13</f>
        <v>27502085662.8724</v>
      </c>
      <c r="BB60" s="66" t="n">
        <f aca="false">Recursos!BB13</f>
        <v>26941330216.365</v>
      </c>
      <c r="BC60" s="66" t="n">
        <f aca="false">Recursos!BC13</f>
        <v>26380574769.8576</v>
      </c>
      <c r="BD60" s="66" t="n">
        <f aca="false">Recursos!BD13</f>
        <v>26941330216.365</v>
      </c>
      <c r="BE60" s="66" t="n">
        <f aca="false">Recursos!BE13</f>
        <v>27502085662.8724</v>
      </c>
      <c r="BF60" s="66" t="n">
        <f aca="false">Recursos!BF13</f>
        <v>26941330216.365</v>
      </c>
      <c r="BG60" s="66" t="n">
        <f aca="false">Recursos!BG13</f>
        <v>26380574769.8576</v>
      </c>
      <c r="BH60" s="66" t="n">
        <f aca="false">Recursos!BH13</f>
        <v>26941330216.365</v>
      </c>
      <c r="BI60" s="66" t="n">
        <f aca="false">Recursos!BI13</f>
        <v>26380574769.8576</v>
      </c>
      <c r="BJ60" s="66" t="n">
        <f aca="false">Recursos!BJ13</f>
        <v>27676382446.5202</v>
      </c>
      <c r="BK60" s="66" t="n">
        <f aca="false">Recursos!BK13</f>
        <v>31069517216.5836</v>
      </c>
      <c r="BL60" s="66" t="n">
        <f aca="false">Recursos!BL13</f>
        <v>26483729342.5377</v>
      </c>
      <c r="BM60" s="66" t="n">
        <f aca="false">Recursos!BM13</f>
        <v>27772778522.2331</v>
      </c>
      <c r="BN60" s="66" t="n">
        <f aca="false">Recursos!BN13</f>
        <v>27204187272.0468</v>
      </c>
      <c r="BO60" s="66" t="n">
        <f aca="false">Recursos!BO13</f>
        <v>26635596021.8606</v>
      </c>
      <c r="BP60" s="66" t="n">
        <f aca="false">Recursos!BP13</f>
        <v>27204187272.0468</v>
      </c>
      <c r="BQ60" s="66" t="n">
        <f aca="false">Recursos!BQ13</f>
        <v>27772778522.2331</v>
      </c>
      <c r="BR60" s="66" t="n">
        <f aca="false">Recursos!BR13</f>
        <v>27204187272.0468</v>
      </c>
      <c r="BS60" s="66" t="n">
        <f aca="false">Recursos!BS13</f>
        <v>26635596021.8606</v>
      </c>
      <c r="BT60" s="66" t="n">
        <f aca="false">Recursos!BT13</f>
        <v>27204187272.0468</v>
      </c>
      <c r="BU60" s="66" t="n">
        <f aca="false">Recursos!BU13</f>
        <v>26635596021.8606</v>
      </c>
      <c r="BV60" s="66" t="n">
        <f aca="false">Recursos!BV13</f>
        <v>27961703074.112</v>
      </c>
      <c r="BW60" s="66" t="n">
        <f aca="false">Recursos!BW13</f>
        <v>31418547208.3213</v>
      </c>
      <c r="BX60" s="66" t="n">
        <f aca="false">Recursos!BX13</f>
        <v>26751055108.6747</v>
      </c>
      <c r="BY60" s="66" t="n">
        <f aca="false">Recursos!BY13</f>
        <v>28053537004.8071</v>
      </c>
      <c r="BZ60" s="66" t="n">
        <f aca="false">Recursos!BZ13</f>
        <v>27476900833.8002</v>
      </c>
      <c r="CA60" s="66" t="n">
        <f aca="false">Recursos!CA13</f>
        <v>26900264662.7933</v>
      </c>
      <c r="CB60" s="66" t="n">
        <f aca="false">Recursos!CB13</f>
        <v>27476900833.8002</v>
      </c>
      <c r="CC60" s="66" t="n">
        <f aca="false">Recursos!CC13</f>
        <v>28053537004.8071</v>
      </c>
      <c r="CD60" s="66" t="n">
        <f aca="false">Recursos!CD13</f>
        <v>27476900833.8002</v>
      </c>
      <c r="CE60" s="66" t="n">
        <f aca="false">Recursos!CE13</f>
        <v>26900264662.7933</v>
      </c>
      <c r="CF60" s="66" t="n">
        <f aca="false">Recursos!CF13</f>
        <v>27476900833.8002</v>
      </c>
      <c r="CG60" s="66" t="n">
        <f aca="false">Recursos!CG13</f>
        <v>26900264662.7933</v>
      </c>
      <c r="CH60" s="66" t="n">
        <f aca="false">Recursos!CH13</f>
        <v>28257149290.5173</v>
      </c>
      <c r="CI60" s="66" t="n">
        <f aca="false">Recursos!CI13</f>
        <v>31778955107.9533</v>
      </c>
      <c r="CJ60" s="66" t="n">
        <f aca="false">Recursos!CJ13</f>
        <v>27028055385.8956</v>
      </c>
      <c r="CK60" s="66" t="n">
        <f aca="false">Recursos!CK13</f>
        <v>28344452265.2574</v>
      </c>
      <c r="CL60" s="66" t="n">
        <f aca="false">Recursos!CL13</f>
        <v>27759559215.2684</v>
      </c>
      <c r="CM60" s="66" t="n">
        <f aca="false">Recursos!CM13</f>
        <v>27174666165.2795</v>
      </c>
      <c r="CN60" s="66" t="n">
        <f aca="false">Recursos!CN13</f>
        <v>27759559215.2684</v>
      </c>
      <c r="CO60" s="66" t="n">
        <f aca="false">Recursos!CO13</f>
        <v>28344452265.2574</v>
      </c>
      <c r="CP60" s="66" t="n">
        <f aca="false">Recursos!CP13</f>
        <v>27759559215.2684</v>
      </c>
      <c r="CQ60" s="66" t="n">
        <f aca="false">Recursos!CQ13</f>
        <v>27174666165.2795</v>
      </c>
      <c r="CR60" s="66" t="n">
        <f aca="false">Recursos!CR13</f>
        <v>27759559215.2684</v>
      </c>
      <c r="CS60" s="66" t="n">
        <f aca="false">Recursos!CS13</f>
        <v>27174666165.2795</v>
      </c>
      <c r="CT60" s="66" t="n">
        <f aca="false">Recursos!CT13</f>
        <v>28562818366.7869</v>
      </c>
    </row>
    <row r="61" customFormat="false" ht="15" hidden="false" customHeight="true" outlineLevel="0" collapsed="false">
      <c r="B61" s="19" t="s">
        <v>634</v>
      </c>
      <c r="C61" s="66" t="n">
        <f aca="false">'Gastos objeto'!C8+'Gastos objeto'!C9+'Gastos objeto'!C10+'Gastos objeto'!C11+'Gastos objeto'!C13-Supuestos!$C$126*Estacionalidad!C$15+Programas!C30</f>
        <v>19775470929.7298</v>
      </c>
      <c r="D61" s="66" t="n">
        <f aca="false">'Gastos objeto'!D8+'Gastos objeto'!D9+'Gastos objeto'!D10+'Gastos objeto'!D11+'Gastos objeto'!D13-Supuestos!$C$126*Estacionalidad!D$15+Programas!D30</f>
        <v>20062732334.8923</v>
      </c>
      <c r="E61" s="66" t="n">
        <f aca="false">'Gastos objeto'!E8+'Gastos objeto'!E9+'Gastos objeto'!E10+'Gastos objeto'!E11+'Gastos objeto'!E13-Supuestos!$C$126*Estacionalidad!E$15+Programas!E30</f>
        <v>20460484541.7437</v>
      </c>
      <c r="F61" s="66" t="n">
        <f aca="false">'Gastos objeto'!F8+'Gastos objeto'!F9+'Gastos objeto'!F10+'Gastos objeto'!F11+'Gastos objeto'!F13-Supuestos!$C$126*Estacionalidad!F$15+Programas!F30</f>
        <v>20460484541.7437</v>
      </c>
      <c r="G61" s="66" t="n">
        <f aca="false">'Gastos objeto'!G8+'Gastos objeto'!G9+'Gastos objeto'!G10+'Gastos objeto'!G11+'Gastos objeto'!G13-Supuestos!$C$126*Estacionalidad!G$15+Programas!G30</f>
        <v>20460484541.7437</v>
      </c>
      <c r="H61" s="66" t="n">
        <f aca="false">'Gastos objeto'!H8+'Gastos objeto'!H9+'Gastos objeto'!H10+'Gastos objeto'!H11+'Gastos objeto'!H13-Supuestos!$C$126*Estacionalidad!H$15+Programas!H30</f>
        <v>24752389292.7014</v>
      </c>
      <c r="I61" s="66" t="n">
        <f aca="false">'Gastos objeto'!I8+'Gastos objeto'!I9+'Gastos objeto'!I10+'Gastos objeto'!I11+'Gastos objeto'!I13-Supuestos!$C$126*Estacionalidad!I$15+Programas!I30</f>
        <v>20460484541.7437</v>
      </c>
      <c r="J61" s="66" t="n">
        <f aca="false">'Gastos objeto'!J8+'Gastos objeto'!J9+'Gastos objeto'!J10+'Gastos objeto'!J11+'Gastos objeto'!J13-Supuestos!$C$126*Estacionalidad!J$15+Programas!J30</f>
        <v>20460484541.7437</v>
      </c>
      <c r="K61" s="66" t="n">
        <f aca="false">'Gastos objeto'!K8+'Gastos objeto'!K9+'Gastos objeto'!K10+'Gastos objeto'!K11+'Gastos objeto'!K13-Supuestos!$C$126*Estacionalidad!K$15+Programas!K30</f>
        <v>20460484541.7437</v>
      </c>
      <c r="L61" s="66" t="n">
        <f aca="false">'Gastos objeto'!L8+'Gastos objeto'!L9+'Gastos objeto'!L10+'Gastos objeto'!L11+'Gastos objeto'!L13-Supuestos!$C$126*Estacionalidad!L$15+Programas!L30</f>
        <v>20504677192.6121</v>
      </c>
      <c r="M61" s="66" t="n">
        <f aca="false">'Gastos objeto'!M8+'Gastos objeto'!M9+'Gastos objeto'!M10+'Gastos objeto'!M11+'Gastos objeto'!M13-Supuestos!$C$126*Estacionalidad!M$15+Programas!M30</f>
        <v>20504677192.6121</v>
      </c>
      <c r="N61" s="66" t="n">
        <f aca="false">'Gastos objeto'!N8+'Gastos objeto'!N9+'Gastos objeto'!N10+'Gastos objeto'!N11+'Gastos objeto'!N13-Supuestos!$C$126*Estacionalidad!N$15+Programas!N30</f>
        <v>24155760982.4243</v>
      </c>
      <c r="O61" s="66" t="n">
        <f aca="false">'Gastos objeto'!O8+'Gastos objeto'!O9+'Gastos objeto'!O10+'Gastos objeto'!O11+'Gastos objeto'!O13-Supuestos!$C$126*Estacionalidad!C$15+Programas!O30</f>
        <v>19874274403.8192</v>
      </c>
      <c r="P61" s="66" t="n">
        <f aca="false">'Gastos objeto'!P8+'Gastos objeto'!P9+'Gastos objeto'!P10+'Gastos objeto'!P11+'Gastos objeto'!P13-Supuestos!$C$126*Estacionalidad!D$15+Programas!P30</f>
        <v>20161535808.9816</v>
      </c>
      <c r="Q61" s="66" t="n">
        <f aca="false">'Gastos objeto'!Q8+'Gastos objeto'!Q9+'Gastos objeto'!Q10+'Gastos objeto'!Q11+'Gastos objeto'!Q13-Supuestos!$C$126*Estacionalidad!E$15+Programas!Q30</f>
        <v>20559288015.833</v>
      </c>
      <c r="R61" s="66" t="n">
        <f aca="false">'Gastos objeto'!R8+'Gastos objeto'!R9+'Gastos objeto'!R10+'Gastos objeto'!R11+'Gastos objeto'!R13-Supuestos!$C$126*Estacionalidad!F$15+Programas!R30</f>
        <v>20559288015.833</v>
      </c>
      <c r="S61" s="66" t="n">
        <f aca="false">'Gastos objeto'!S8+'Gastos objeto'!S9+'Gastos objeto'!S10+'Gastos objeto'!S11+'Gastos objeto'!S13-Supuestos!$C$126*Estacionalidad!G$15+Programas!S30</f>
        <v>20559288015.833</v>
      </c>
      <c r="T61" s="66" t="n">
        <f aca="false">'Gastos objeto'!T8+'Gastos objeto'!T9+'Gastos objeto'!T10+'Gastos objeto'!T11+'Gastos objeto'!T13-Supuestos!$C$126*Estacionalidad!H$15+Programas!T30</f>
        <v>24851192766.7907</v>
      </c>
      <c r="U61" s="66" t="n">
        <f aca="false">'Gastos objeto'!U8+'Gastos objeto'!U9+'Gastos objeto'!U10+'Gastos objeto'!U11+'Gastos objeto'!U13-Supuestos!$C$126*Estacionalidad!I$15+Programas!U30</f>
        <v>20559288015.833</v>
      </c>
      <c r="V61" s="66" t="n">
        <f aca="false">'Gastos objeto'!V8+'Gastos objeto'!V9+'Gastos objeto'!V10+'Gastos objeto'!V11+'Gastos objeto'!V13-Supuestos!$C$126*Estacionalidad!J$15+Programas!V30</f>
        <v>20559288015.833</v>
      </c>
      <c r="W61" s="66" t="n">
        <f aca="false">'Gastos objeto'!W8+'Gastos objeto'!W9+'Gastos objeto'!W10+'Gastos objeto'!W11+'Gastos objeto'!W13-Supuestos!$C$126*Estacionalidad!K$15+Programas!W30</f>
        <v>20559288015.833</v>
      </c>
      <c r="X61" s="66" t="n">
        <f aca="false">'Gastos objeto'!X8+'Gastos objeto'!X9+'Gastos objeto'!X10+'Gastos objeto'!X11+'Gastos objeto'!X13-Supuestos!$C$126*Estacionalidad!L$15+Programas!X30</f>
        <v>20603480666.7014</v>
      </c>
      <c r="Y61" s="66" t="n">
        <f aca="false">'Gastos objeto'!Y8+'Gastos objeto'!Y9+'Gastos objeto'!Y10+'Gastos objeto'!Y11+'Gastos objeto'!Y13-Supuestos!$C$126*Estacionalidad!M$15+Programas!Y30</f>
        <v>20603480666.7014</v>
      </c>
      <c r="Z61" s="66" t="n">
        <f aca="false">'Gastos objeto'!Z8+'Gastos objeto'!Z9+'Gastos objeto'!Z10+'Gastos objeto'!Z11+'Gastos objeto'!Z13-Supuestos!$C$126*Estacionalidad!N$15+Programas!Z30</f>
        <v>24254564456.5136</v>
      </c>
      <c r="AA61" s="66" t="n">
        <f aca="false">'Gastos objeto'!AA8+'Gastos objeto'!AA9+'Gastos objeto'!AA10+'Gastos objeto'!AA11+'Gastos objeto'!AA13-Supuestos!$C$126*Estacionalidad!C$15+Programas!AA30</f>
        <v>19964589329.5638</v>
      </c>
      <c r="AB61" s="66" t="n">
        <f aca="false">'Gastos objeto'!AB8+'Gastos objeto'!AB9+'Gastos objeto'!AB10+'Gastos objeto'!AB11+'Gastos objeto'!AB13-Supuestos!$C$126*Estacionalidad!D$15+Programas!AB30</f>
        <v>20251850734.7263</v>
      </c>
      <c r="AC61" s="66" t="n">
        <f aca="false">'Gastos objeto'!AC8+'Gastos objeto'!AC9+'Gastos objeto'!AC10+'Gastos objeto'!AC11+'Gastos objeto'!AC13-Supuestos!$C$126*Estacionalidad!E$15+Programas!AC30</f>
        <v>20649602941.5777</v>
      </c>
      <c r="AD61" s="66" t="n">
        <f aca="false">'Gastos objeto'!AD8+'Gastos objeto'!AD9+'Gastos objeto'!AD10+'Gastos objeto'!AD11+'Gastos objeto'!AD13-Supuestos!$C$126*Estacionalidad!F$15+Programas!AD30</f>
        <v>20649602941.5777</v>
      </c>
      <c r="AE61" s="66" t="n">
        <f aca="false">'Gastos objeto'!AE8+'Gastos objeto'!AE9+'Gastos objeto'!AE10+'Gastos objeto'!AE11+'Gastos objeto'!AE13-Supuestos!$C$126*Estacionalidad!G$15+Programas!AE30</f>
        <v>20649602941.5777</v>
      </c>
      <c r="AF61" s="66" t="n">
        <f aca="false">'Gastos objeto'!AF8+'Gastos objeto'!AF9+'Gastos objeto'!AF10+'Gastos objeto'!AF11+'Gastos objeto'!AF13-Supuestos!$C$126*Estacionalidad!H$15+Programas!AF30</f>
        <v>24941507692.5354</v>
      </c>
      <c r="AG61" s="66" t="n">
        <f aca="false">'Gastos objeto'!AG8+'Gastos objeto'!AG9+'Gastos objeto'!AG10+'Gastos objeto'!AG11+'Gastos objeto'!AG13-Supuestos!$C$126*Estacionalidad!I$15+Programas!AG30</f>
        <v>20649602941.5777</v>
      </c>
      <c r="AH61" s="66" t="n">
        <f aca="false">'Gastos objeto'!AH8+'Gastos objeto'!AH9+'Gastos objeto'!AH10+'Gastos objeto'!AH11+'Gastos objeto'!AH13-Supuestos!$C$126*Estacionalidad!J$15+Programas!AH30</f>
        <v>20649602941.5777</v>
      </c>
      <c r="AI61" s="66" t="n">
        <f aca="false">'Gastos objeto'!AI8+'Gastos objeto'!AI9+'Gastos objeto'!AI10+'Gastos objeto'!AI11+'Gastos objeto'!AI13-Supuestos!$C$126*Estacionalidad!K$15+Programas!AI30</f>
        <v>20649602941.5777</v>
      </c>
      <c r="AJ61" s="66" t="n">
        <f aca="false">'Gastos objeto'!AJ8+'Gastos objeto'!AJ9+'Gastos objeto'!AJ10+'Gastos objeto'!AJ11+'Gastos objeto'!AJ13-Supuestos!$C$126*Estacionalidad!L$15+Programas!AJ30</f>
        <v>20693795592.4461</v>
      </c>
      <c r="AK61" s="66" t="n">
        <f aca="false">'Gastos objeto'!AK8+'Gastos objeto'!AK9+'Gastos objeto'!AK10+'Gastos objeto'!AK11+'Gastos objeto'!AK13-Supuestos!$C$126*Estacionalidad!M$15+Programas!AK30</f>
        <v>20693795592.4461</v>
      </c>
      <c r="AL61" s="66" t="n">
        <f aca="false">'Gastos objeto'!AL8+'Gastos objeto'!AL9+'Gastos objeto'!AL10+'Gastos objeto'!AL11+'Gastos objeto'!AL13-Supuestos!$C$126*Estacionalidad!N$15+Programas!AL30</f>
        <v>24344879382.2583</v>
      </c>
      <c r="AM61" s="66" t="n">
        <f aca="false">'Gastos objeto'!AM8+'Gastos objeto'!AM9+'Gastos objeto'!AM10+'Gastos objeto'!AM11+'Gastos objeto'!AM13-Supuestos!$C$126*Estacionalidad!C$15+Programas!AM30</f>
        <v>19992805875.9798</v>
      </c>
      <c r="AN61" s="66" t="n">
        <f aca="false">'Gastos objeto'!AN8+'Gastos objeto'!AN9+'Gastos objeto'!AN10+'Gastos objeto'!AN11+'Gastos objeto'!AN13-Supuestos!$C$126*Estacionalidad!D$15+Programas!AN30</f>
        <v>20280067281.1423</v>
      </c>
      <c r="AO61" s="66" t="n">
        <f aca="false">'Gastos objeto'!AO8+'Gastos objeto'!AO9+'Gastos objeto'!AO10+'Gastos objeto'!AO11+'Gastos objeto'!AO13-Supuestos!$C$126*Estacionalidad!E$15+Programas!AO30</f>
        <v>20677819487.9937</v>
      </c>
      <c r="AP61" s="66" t="n">
        <f aca="false">'Gastos objeto'!AP8+'Gastos objeto'!AP9+'Gastos objeto'!AP10+'Gastos objeto'!AP11+'Gastos objeto'!AP13-Supuestos!$C$126*Estacionalidad!F$15+Programas!AP30</f>
        <v>20677819487.9937</v>
      </c>
      <c r="AQ61" s="66" t="n">
        <f aca="false">'Gastos objeto'!AQ8+'Gastos objeto'!AQ9+'Gastos objeto'!AQ10+'Gastos objeto'!AQ11+'Gastos objeto'!AQ13-Supuestos!$C$126*Estacionalidad!G$15+Programas!AQ30</f>
        <v>20677819487.9937</v>
      </c>
      <c r="AR61" s="66" t="n">
        <f aca="false">'Gastos objeto'!AR8+'Gastos objeto'!AR9+'Gastos objeto'!AR10+'Gastos objeto'!AR11+'Gastos objeto'!AR13-Supuestos!$C$126*Estacionalidad!H$15+Programas!AR30</f>
        <v>24969724238.9514</v>
      </c>
      <c r="AS61" s="66" t="n">
        <f aca="false">'Gastos objeto'!AS8+'Gastos objeto'!AS9+'Gastos objeto'!AS10+'Gastos objeto'!AS11+'Gastos objeto'!AS13-Supuestos!$C$126*Estacionalidad!I$15+Programas!AS30</f>
        <v>20677819487.9937</v>
      </c>
      <c r="AT61" s="66" t="n">
        <f aca="false">'Gastos objeto'!AT8+'Gastos objeto'!AT9+'Gastos objeto'!AT10+'Gastos objeto'!AT11+'Gastos objeto'!AT13-Supuestos!$C$126*Estacionalidad!J$15+Programas!AT30</f>
        <v>20677819487.9937</v>
      </c>
      <c r="AU61" s="66" t="n">
        <f aca="false">'Gastos objeto'!AU8+'Gastos objeto'!AU9+'Gastos objeto'!AU10+'Gastos objeto'!AU11+'Gastos objeto'!AU13-Supuestos!$C$126*Estacionalidad!K$15+Programas!AU30</f>
        <v>20677819487.9937</v>
      </c>
      <c r="AV61" s="66" t="n">
        <f aca="false">'Gastos objeto'!AV8+'Gastos objeto'!AV9+'Gastos objeto'!AV10+'Gastos objeto'!AV11+'Gastos objeto'!AV13-Supuestos!$C$126*Estacionalidad!L$15+Programas!AV30</f>
        <v>20722012138.8621</v>
      </c>
      <c r="AW61" s="66" t="n">
        <f aca="false">'Gastos objeto'!AW8+'Gastos objeto'!AW9+'Gastos objeto'!AW10+'Gastos objeto'!AW11+'Gastos objeto'!AW13-Supuestos!$C$126*Estacionalidad!M$15+Programas!AW30</f>
        <v>20722012138.8621</v>
      </c>
      <c r="AX61" s="66" t="n">
        <f aca="false">'Gastos objeto'!AX8+'Gastos objeto'!AX9+'Gastos objeto'!AX10+'Gastos objeto'!AX11+'Gastos objeto'!AX13-Supuestos!$C$126*Estacionalidad!N$15+Programas!AX30</f>
        <v>24373095928.6743</v>
      </c>
      <c r="AY61" s="66" t="n">
        <f aca="false">'Gastos objeto'!AY8+'Gastos objeto'!AY9+'Gastos objeto'!AY10+'Gastos objeto'!AY11+'Gastos objeto'!AY13-Supuestos!$C$126*Estacionalidad!C$15+Programas!AY30</f>
        <v>19992805875.9798</v>
      </c>
      <c r="AZ61" s="66" t="n">
        <f aca="false">'Gastos objeto'!AZ8+'Gastos objeto'!AZ9+'Gastos objeto'!AZ10+'Gastos objeto'!AZ11+'Gastos objeto'!AZ13-Supuestos!$C$126*Estacionalidad!D$15+Programas!AZ30</f>
        <v>20280067281.1423</v>
      </c>
      <c r="BA61" s="66" t="n">
        <f aca="false">'Gastos objeto'!BA8+'Gastos objeto'!BA9+'Gastos objeto'!BA10+'Gastos objeto'!BA11+'Gastos objeto'!BA13-Supuestos!$C$126*Estacionalidad!E$15+Programas!BA30</f>
        <v>20677819487.9937</v>
      </c>
      <c r="BB61" s="66" t="n">
        <f aca="false">'Gastos objeto'!BB8+'Gastos objeto'!BB9+'Gastos objeto'!BB10+'Gastos objeto'!BB11+'Gastos objeto'!BB13-Supuestos!$C$126*Estacionalidad!F$15+Programas!BB30</f>
        <v>20677819487.9937</v>
      </c>
      <c r="BC61" s="66" t="n">
        <f aca="false">'Gastos objeto'!BC8+'Gastos objeto'!BC9+'Gastos objeto'!BC10+'Gastos objeto'!BC11+'Gastos objeto'!BC13-Supuestos!$C$126*Estacionalidad!G$15+Programas!BC30</f>
        <v>20677819487.9937</v>
      </c>
      <c r="BD61" s="66" t="n">
        <f aca="false">'Gastos objeto'!BD8+'Gastos objeto'!BD9+'Gastos objeto'!BD10+'Gastos objeto'!BD11+'Gastos objeto'!BD13-Supuestos!$C$126*Estacionalidad!H$15+Programas!BD30</f>
        <v>24969724238.9514</v>
      </c>
      <c r="BE61" s="66" t="n">
        <f aca="false">'Gastos objeto'!BE8+'Gastos objeto'!BE9+'Gastos objeto'!BE10+'Gastos objeto'!BE11+'Gastos objeto'!BE13-Supuestos!$C$126*Estacionalidad!I$15+Programas!BE30</f>
        <v>20677819487.9937</v>
      </c>
      <c r="BF61" s="66" t="n">
        <f aca="false">'Gastos objeto'!BF8+'Gastos objeto'!BF9+'Gastos objeto'!BF10+'Gastos objeto'!BF11+'Gastos objeto'!BF13-Supuestos!$C$126*Estacionalidad!J$15+Programas!BF30</f>
        <v>20677819487.9937</v>
      </c>
      <c r="BG61" s="66" t="n">
        <f aca="false">'Gastos objeto'!BG8+'Gastos objeto'!BG9+'Gastos objeto'!BG10+'Gastos objeto'!BG11+'Gastos objeto'!BG13-Supuestos!$C$126*Estacionalidad!K$15+Programas!BG30</f>
        <v>20677819487.9937</v>
      </c>
      <c r="BH61" s="66" t="n">
        <f aca="false">'Gastos objeto'!BH8+'Gastos objeto'!BH9+'Gastos objeto'!BH10+'Gastos objeto'!BH11+'Gastos objeto'!BH13-Supuestos!$C$126*Estacionalidad!L$15+Programas!BH30</f>
        <v>20722012138.8621</v>
      </c>
      <c r="BI61" s="66" t="n">
        <f aca="false">'Gastos objeto'!BI8+'Gastos objeto'!BI9+'Gastos objeto'!BI10+'Gastos objeto'!BI11+'Gastos objeto'!BI13-Supuestos!$C$126*Estacionalidad!M$15+Programas!BI30</f>
        <v>20722012138.8621</v>
      </c>
      <c r="BJ61" s="66" t="n">
        <f aca="false">'Gastos objeto'!BJ8+'Gastos objeto'!BJ9+'Gastos objeto'!BJ10+'Gastos objeto'!BJ11+'Gastos objeto'!BJ13-Supuestos!$C$126*Estacionalidad!N$15+Programas!BJ30</f>
        <v>24373095928.6743</v>
      </c>
      <c r="BK61" s="66" t="n">
        <f aca="false">'Gastos objeto'!BK8+'Gastos objeto'!BK9+'Gastos objeto'!BK10+'Gastos objeto'!BK11+'Gastos objeto'!BK13-Supuestos!$C$126*Estacionalidad!C$15+Programas!BK30</f>
        <v>19992805875.9798</v>
      </c>
      <c r="BL61" s="66" t="n">
        <f aca="false">'Gastos objeto'!BL8+'Gastos objeto'!BL9+'Gastos objeto'!BL10+'Gastos objeto'!BL11+'Gastos objeto'!BL13-Supuestos!$C$126*Estacionalidad!D$15+Programas!BL30</f>
        <v>20280067281.1423</v>
      </c>
      <c r="BM61" s="66" t="n">
        <f aca="false">'Gastos objeto'!BM8+'Gastos objeto'!BM9+'Gastos objeto'!BM10+'Gastos objeto'!BM11+'Gastos objeto'!BM13-Supuestos!$C$126*Estacionalidad!E$15+Programas!BM30</f>
        <v>20677819487.9937</v>
      </c>
      <c r="BN61" s="66" t="n">
        <f aca="false">'Gastos objeto'!BN8+'Gastos objeto'!BN9+'Gastos objeto'!BN10+'Gastos objeto'!BN11+'Gastos objeto'!BN13-Supuestos!$C$126*Estacionalidad!F$15+Programas!BN30</f>
        <v>20677819487.9937</v>
      </c>
      <c r="BO61" s="66" t="n">
        <f aca="false">'Gastos objeto'!BO8+'Gastos objeto'!BO9+'Gastos objeto'!BO10+'Gastos objeto'!BO11+'Gastos objeto'!BO13-Supuestos!$C$126*Estacionalidad!G$15+Programas!BO30</f>
        <v>20677819487.9937</v>
      </c>
      <c r="BP61" s="66" t="n">
        <f aca="false">'Gastos objeto'!BP8+'Gastos objeto'!BP9+'Gastos objeto'!BP10+'Gastos objeto'!BP11+'Gastos objeto'!BP13-Supuestos!$C$126*Estacionalidad!H$15+Programas!BP30</f>
        <v>24969724238.9514</v>
      </c>
      <c r="BQ61" s="66" t="n">
        <f aca="false">'Gastos objeto'!BQ8+'Gastos objeto'!BQ9+'Gastos objeto'!BQ10+'Gastos objeto'!BQ11+'Gastos objeto'!BQ13-Supuestos!$C$126*Estacionalidad!I$15+Programas!BQ30</f>
        <v>20677819487.9937</v>
      </c>
      <c r="BR61" s="66" t="n">
        <f aca="false">'Gastos objeto'!BR8+'Gastos objeto'!BR9+'Gastos objeto'!BR10+'Gastos objeto'!BR11+'Gastos objeto'!BR13-Supuestos!$C$126*Estacionalidad!J$15+Programas!BR30</f>
        <v>20677819487.9937</v>
      </c>
      <c r="BS61" s="66" t="n">
        <f aca="false">'Gastos objeto'!BS8+'Gastos objeto'!BS9+'Gastos objeto'!BS10+'Gastos objeto'!BS11+'Gastos objeto'!BS13-Supuestos!$C$126*Estacionalidad!K$15+Programas!BS30</f>
        <v>20677819487.9937</v>
      </c>
      <c r="BT61" s="66" t="n">
        <f aca="false">'Gastos objeto'!BT8+'Gastos objeto'!BT9+'Gastos objeto'!BT10+'Gastos objeto'!BT11+'Gastos objeto'!BT13-Supuestos!$C$126*Estacionalidad!L$15+Programas!BT30</f>
        <v>20722012138.8621</v>
      </c>
      <c r="BU61" s="66" t="n">
        <f aca="false">'Gastos objeto'!BU8+'Gastos objeto'!BU9+'Gastos objeto'!BU10+'Gastos objeto'!BU11+'Gastos objeto'!BU13-Supuestos!$C$126*Estacionalidad!M$15+Programas!BU30</f>
        <v>20722012138.8621</v>
      </c>
      <c r="BV61" s="66" t="n">
        <f aca="false">'Gastos objeto'!BV8+'Gastos objeto'!BV9+'Gastos objeto'!BV10+'Gastos objeto'!BV11+'Gastos objeto'!BV13-Supuestos!$C$126*Estacionalidad!N$15+Programas!BV30</f>
        <v>24373095928.6743</v>
      </c>
      <c r="BW61" s="66" t="n">
        <f aca="false">'Gastos objeto'!BW8+'Gastos objeto'!BW9+'Gastos objeto'!BW10+'Gastos objeto'!BW11+'Gastos objeto'!BW13-Supuestos!$C$126*Estacionalidad!C$15+Programas!BW30</f>
        <v>19992805875.9798</v>
      </c>
      <c r="BX61" s="66" t="n">
        <f aca="false">'Gastos objeto'!BX8+'Gastos objeto'!BX9+'Gastos objeto'!BX10+'Gastos objeto'!BX11+'Gastos objeto'!BX13-Supuestos!$C$126*Estacionalidad!D$15+Programas!BX30</f>
        <v>20280067281.1423</v>
      </c>
      <c r="BY61" s="66" t="n">
        <f aca="false">'Gastos objeto'!BY8+'Gastos objeto'!BY9+'Gastos objeto'!BY10+'Gastos objeto'!BY11+'Gastos objeto'!BY13-Supuestos!$C$126*Estacionalidad!E$15+Programas!BY30</f>
        <v>20677819487.9937</v>
      </c>
      <c r="BZ61" s="66" t="n">
        <f aca="false">'Gastos objeto'!BZ8+'Gastos objeto'!BZ9+'Gastos objeto'!BZ10+'Gastos objeto'!BZ11+'Gastos objeto'!BZ13-Supuestos!$C$126*Estacionalidad!F$15+Programas!BZ30</f>
        <v>20677819487.9937</v>
      </c>
      <c r="CA61" s="66" t="n">
        <f aca="false">'Gastos objeto'!CA8+'Gastos objeto'!CA9+'Gastos objeto'!CA10+'Gastos objeto'!CA11+'Gastos objeto'!CA13-Supuestos!$C$126*Estacionalidad!G$15+Programas!CA30</f>
        <v>20677819487.9937</v>
      </c>
      <c r="CB61" s="66" t="n">
        <f aca="false">'Gastos objeto'!CB8+'Gastos objeto'!CB9+'Gastos objeto'!CB10+'Gastos objeto'!CB11+'Gastos objeto'!CB13-Supuestos!$C$126*Estacionalidad!H$15+Programas!CB30</f>
        <v>24969724238.9514</v>
      </c>
      <c r="CC61" s="66" t="n">
        <f aca="false">'Gastos objeto'!CC8+'Gastos objeto'!CC9+'Gastos objeto'!CC10+'Gastos objeto'!CC11+'Gastos objeto'!CC13-Supuestos!$C$126*Estacionalidad!I$15+Programas!CC30</f>
        <v>20677819487.9937</v>
      </c>
      <c r="CD61" s="66" t="n">
        <f aca="false">'Gastos objeto'!CD8+'Gastos objeto'!CD9+'Gastos objeto'!CD10+'Gastos objeto'!CD11+'Gastos objeto'!CD13-Supuestos!$C$126*Estacionalidad!J$15+Programas!CD30</f>
        <v>20677819487.9937</v>
      </c>
      <c r="CE61" s="66" t="n">
        <f aca="false">'Gastos objeto'!CE8+'Gastos objeto'!CE9+'Gastos objeto'!CE10+'Gastos objeto'!CE11+'Gastos objeto'!CE13-Supuestos!$C$126*Estacionalidad!K$15+Programas!CE30</f>
        <v>20677819487.9937</v>
      </c>
      <c r="CF61" s="66" t="n">
        <f aca="false">'Gastos objeto'!CF8+'Gastos objeto'!CF9+'Gastos objeto'!CF10+'Gastos objeto'!CF11+'Gastos objeto'!CF13-Supuestos!$C$126*Estacionalidad!L$15+Programas!CF30</f>
        <v>20722012138.8621</v>
      </c>
      <c r="CG61" s="66" t="n">
        <f aca="false">'Gastos objeto'!CG8+'Gastos objeto'!CG9+'Gastos objeto'!CG10+'Gastos objeto'!CG11+'Gastos objeto'!CG13-Supuestos!$C$126*Estacionalidad!M$15+Programas!CG30</f>
        <v>20722012138.8621</v>
      </c>
      <c r="CH61" s="66" t="n">
        <f aca="false">'Gastos objeto'!CH8+'Gastos objeto'!CH9+'Gastos objeto'!CH10+'Gastos objeto'!CH11+'Gastos objeto'!CH13-Supuestos!$C$126*Estacionalidad!N$15+Programas!CH30</f>
        <v>24373095928.6743</v>
      </c>
      <c r="CI61" s="66" t="n">
        <f aca="false">'Gastos objeto'!CI8+'Gastos objeto'!CI9+'Gastos objeto'!CI10+'Gastos objeto'!CI11+'Gastos objeto'!CI13-Supuestos!$C$126*Estacionalidad!C$15+Programas!CI30</f>
        <v>19992805875.9798</v>
      </c>
      <c r="CJ61" s="66" t="n">
        <f aca="false">'Gastos objeto'!CJ8+'Gastos objeto'!CJ9+'Gastos objeto'!CJ10+'Gastos objeto'!CJ11+'Gastos objeto'!CJ13-Supuestos!$C$126*Estacionalidad!D$15+Programas!CJ30</f>
        <v>20280067281.1423</v>
      </c>
      <c r="CK61" s="66" t="n">
        <f aca="false">'Gastos objeto'!CK8+'Gastos objeto'!CK9+'Gastos objeto'!CK10+'Gastos objeto'!CK11+'Gastos objeto'!CK13-Supuestos!$C$126*Estacionalidad!E$15+Programas!CK30</f>
        <v>20677819487.9937</v>
      </c>
      <c r="CL61" s="66" t="n">
        <f aca="false">'Gastos objeto'!CL8+'Gastos objeto'!CL9+'Gastos objeto'!CL10+'Gastos objeto'!CL11+'Gastos objeto'!CL13-Supuestos!$C$126*Estacionalidad!F$15+Programas!CL30</f>
        <v>20677819487.9937</v>
      </c>
      <c r="CM61" s="66" t="n">
        <f aca="false">'Gastos objeto'!CM8+'Gastos objeto'!CM9+'Gastos objeto'!CM10+'Gastos objeto'!CM11+'Gastos objeto'!CM13-Supuestos!$C$126*Estacionalidad!G$15+Programas!CM30</f>
        <v>20677819487.9937</v>
      </c>
      <c r="CN61" s="66" t="n">
        <f aca="false">'Gastos objeto'!CN8+'Gastos objeto'!CN9+'Gastos objeto'!CN10+'Gastos objeto'!CN11+'Gastos objeto'!CN13-Supuestos!$C$126*Estacionalidad!H$15+Programas!CN30</f>
        <v>24969724238.9514</v>
      </c>
      <c r="CO61" s="66" t="n">
        <f aca="false">'Gastos objeto'!CO8+'Gastos objeto'!CO9+'Gastos objeto'!CO10+'Gastos objeto'!CO11+'Gastos objeto'!CO13-Supuestos!$C$126*Estacionalidad!I$15+Programas!CO30</f>
        <v>20677819487.9937</v>
      </c>
      <c r="CP61" s="66" t="n">
        <f aca="false">'Gastos objeto'!CP8+'Gastos objeto'!CP9+'Gastos objeto'!CP10+'Gastos objeto'!CP11+'Gastos objeto'!CP13-Supuestos!$C$126*Estacionalidad!J$15+Programas!CP30</f>
        <v>20677819487.9937</v>
      </c>
      <c r="CQ61" s="66" t="n">
        <f aca="false">'Gastos objeto'!CQ8+'Gastos objeto'!CQ9+'Gastos objeto'!CQ10+'Gastos objeto'!CQ11+'Gastos objeto'!CQ13-Supuestos!$C$126*Estacionalidad!K$15+Programas!CQ30</f>
        <v>20677819487.9937</v>
      </c>
      <c r="CR61" s="66" t="n">
        <f aca="false">'Gastos objeto'!CR8+'Gastos objeto'!CR9+'Gastos objeto'!CR10+'Gastos objeto'!CR11+'Gastos objeto'!CR13-Supuestos!$C$126*Estacionalidad!L$15+Programas!CR30</f>
        <v>20722012138.8621</v>
      </c>
      <c r="CS61" s="66" t="n">
        <f aca="false">'Gastos objeto'!CS8+'Gastos objeto'!CS9+'Gastos objeto'!CS10+'Gastos objeto'!CS11+'Gastos objeto'!CS13-Supuestos!$C$126*Estacionalidad!M$15+Programas!CS30</f>
        <v>20722012138.8621</v>
      </c>
      <c r="CT61" s="66" t="n">
        <f aca="false">'Gastos objeto'!CT8+'Gastos objeto'!CT9+'Gastos objeto'!CT10+'Gastos objeto'!CT11+'Gastos objeto'!CT13-Supuestos!$C$126*Estacionalidad!N$15+Programas!CT30</f>
        <v>24373095928.6743</v>
      </c>
    </row>
    <row r="62" customFormat="false" ht="15" hidden="false" customHeight="true" outlineLevel="0" collapsed="false">
      <c r="B62" s="46" t="s">
        <v>635</v>
      </c>
      <c r="C62" s="58" t="n">
        <f aca="false">C60-C61</f>
        <v>9289652322.66346</v>
      </c>
      <c r="D62" s="58" t="n">
        <f aca="false">D60-D61</f>
        <v>4878847346.81077</v>
      </c>
      <c r="E62" s="58" t="n">
        <f aca="false">E60-E61</f>
        <v>5692681642.06864</v>
      </c>
      <c r="F62" s="58" t="n">
        <f aca="false">F60-F61</f>
        <v>5169925621.5641</v>
      </c>
      <c r="G62" s="58" t="n">
        <f aca="false">G60-G61</f>
        <v>4647169601.05956</v>
      </c>
      <c r="H62" s="58" t="n">
        <f aca="false">H60-H61</f>
        <v>878020870.606403</v>
      </c>
      <c r="I62" s="58" t="n">
        <f aca="false">I60-I61</f>
        <v>5692681642.06864</v>
      </c>
      <c r="J62" s="58" t="n">
        <f aca="false">J60-J61</f>
        <v>5169925621.5641</v>
      </c>
      <c r="K62" s="58" t="n">
        <f aca="false">K60-K61</f>
        <v>4647169601.05956</v>
      </c>
      <c r="L62" s="58" t="n">
        <f aca="false">L60-L61</f>
        <v>5125732970.69572</v>
      </c>
      <c r="M62" s="58" t="n">
        <f aca="false">M60-M61</f>
        <v>4602976950.19118</v>
      </c>
      <c r="N62" s="58" t="n">
        <f aca="false">N60-N61</f>
        <v>2104975069.14212</v>
      </c>
      <c r="O62" s="58" t="n">
        <f aca="false">O60-O61</f>
        <v>9799657819.35374</v>
      </c>
      <c r="P62" s="58" t="n">
        <f aca="false">P60-P61</f>
        <v>5257367888.33953</v>
      </c>
      <c r="Q62" s="58" t="n">
        <f aca="false">Q60-Q61</f>
        <v>6095142612.58061</v>
      </c>
      <c r="R62" s="58" t="n">
        <f aca="false">R60-R61</f>
        <v>5558931813.53839</v>
      </c>
      <c r="S62" s="58" t="n">
        <f aca="false">S60-S61</f>
        <v>5022721014.49617</v>
      </c>
      <c r="T62" s="58" t="n">
        <f aca="false">T60-T61</f>
        <v>1267027062.5807</v>
      </c>
      <c r="U62" s="58" t="n">
        <f aca="false">U60-U61</f>
        <v>6095142612.58061</v>
      </c>
      <c r="V62" s="58" t="n">
        <f aca="false">V60-V61</f>
        <v>5558931813.53839</v>
      </c>
      <c r="W62" s="58" t="n">
        <f aca="false">W60-W61</f>
        <v>5022721014.49617</v>
      </c>
      <c r="X62" s="58" t="n">
        <f aca="false">X60-X61</f>
        <v>5514739162.67001</v>
      </c>
      <c r="Y62" s="58" t="n">
        <f aca="false">Y60-Y61</f>
        <v>4978528363.6278</v>
      </c>
      <c r="Z62" s="58" t="n">
        <f aca="false">Z60-Z61</f>
        <v>2528313638.4221</v>
      </c>
      <c r="AA62" s="58" t="n">
        <f aca="false">AA60-AA61</f>
        <v>10120353649.9195</v>
      </c>
      <c r="AB62" s="58" t="n">
        <f aca="false">AB60-AB61</f>
        <v>5483340845.30274</v>
      </c>
      <c r="AC62" s="58" t="n">
        <f aca="false">AC60-AC61</f>
        <v>6337002561.8302</v>
      </c>
      <c r="AD62" s="58" t="n">
        <f aca="false">AD60-AD61</f>
        <v>5791396303.62518</v>
      </c>
      <c r="AE62" s="58" t="n">
        <f aca="false">AE60-AE61</f>
        <v>5245790045.42016</v>
      </c>
      <c r="AF62" s="58" t="n">
        <f aca="false">AF60-AF61</f>
        <v>1499491552.66748</v>
      </c>
      <c r="AG62" s="58" t="n">
        <f aca="false">AG60-AG61</f>
        <v>6337002561.8302</v>
      </c>
      <c r="AH62" s="58" t="n">
        <f aca="false">AH60-AH61</f>
        <v>5791396303.62518</v>
      </c>
      <c r="AI62" s="58" t="n">
        <f aca="false">AI60-AI61</f>
        <v>5245790045.42016</v>
      </c>
      <c r="AJ62" s="58" t="n">
        <f aca="false">AJ60-AJ61</f>
        <v>5747203652.7568</v>
      </c>
      <c r="AK62" s="58" t="n">
        <f aca="false">AK60-AK61</f>
        <v>5201597394.55178</v>
      </c>
      <c r="AL62" s="58" t="n">
        <f aca="false">AL60-AL61</f>
        <v>2786828861.93257</v>
      </c>
      <c r="AM62" s="58" t="n">
        <f aca="false">AM60-AM61</f>
        <v>10412321828.3797</v>
      </c>
      <c r="AN62" s="58" t="n">
        <f aca="false">AN60-AN61</f>
        <v>5697690797.46534</v>
      </c>
      <c r="AO62" s="58" t="n">
        <f aca="false">AO60-AO61</f>
        <v>6563551842.81731</v>
      </c>
      <c r="AP62" s="58" t="n">
        <f aca="false">AP60-AP61</f>
        <v>6010425842.28833</v>
      </c>
      <c r="AQ62" s="58" t="n">
        <f aca="false">AQ60-AQ61</f>
        <v>5457299841.75934</v>
      </c>
      <c r="AR62" s="58" t="n">
        <f aca="false">AR60-AR61</f>
        <v>1718521091.33064</v>
      </c>
      <c r="AS62" s="58" t="n">
        <f aca="false">AS60-AS61</f>
        <v>6563551842.81731</v>
      </c>
      <c r="AT62" s="58" t="n">
        <f aca="false">AT60-AT61</f>
        <v>6010425842.28833</v>
      </c>
      <c r="AU62" s="58" t="n">
        <f aca="false">AU60-AU61</f>
        <v>5457299841.75934</v>
      </c>
      <c r="AV62" s="58" t="n">
        <f aca="false">AV60-AV61</f>
        <v>5966233191.41995</v>
      </c>
      <c r="AW62" s="58" t="n">
        <f aca="false">AW60-AW61</f>
        <v>5413107190.89096</v>
      </c>
      <c r="AX62" s="58" t="n">
        <f aca="false">AX60-AX61</f>
        <v>3027998274.80217</v>
      </c>
      <c r="AY62" s="58" t="n">
        <f aca="false">AY60-AY61</f>
        <v>10738942319.2971</v>
      </c>
      <c r="AZ62" s="58" t="n">
        <f aca="false">AZ60-AZ61</f>
        <v>5945924023.57145</v>
      </c>
      <c r="BA62" s="58" t="n">
        <f aca="false">BA60-BA61</f>
        <v>6824266174.87876</v>
      </c>
      <c r="BB62" s="58" t="n">
        <f aca="false">BB60-BB61</f>
        <v>6263510728.37134</v>
      </c>
      <c r="BC62" s="58" t="n">
        <f aca="false">BC60-BC61</f>
        <v>5702755281.86392</v>
      </c>
      <c r="BD62" s="58" t="n">
        <f aca="false">BD60-BD61</f>
        <v>1971605977.41365</v>
      </c>
      <c r="BE62" s="58" t="n">
        <f aca="false">BE60-BE61</f>
        <v>6824266174.87876</v>
      </c>
      <c r="BF62" s="58" t="n">
        <f aca="false">BF60-BF61</f>
        <v>6263510728.37134</v>
      </c>
      <c r="BG62" s="58" t="n">
        <f aca="false">BG60-BG61</f>
        <v>5702755281.86392</v>
      </c>
      <c r="BH62" s="58" t="n">
        <f aca="false">BH60-BH61</f>
        <v>6219318077.50296</v>
      </c>
      <c r="BI62" s="58" t="n">
        <f aca="false">BI60-BI61</f>
        <v>5658562630.99554</v>
      </c>
      <c r="BJ62" s="58" t="n">
        <f aca="false">BJ60-BJ61</f>
        <v>3303286517.84588</v>
      </c>
      <c r="BK62" s="58" t="n">
        <f aca="false">BK60-BK61</f>
        <v>11076711340.6037</v>
      </c>
      <c r="BL62" s="58" t="n">
        <f aca="false">BL60-BL61</f>
        <v>6203662061.39537</v>
      </c>
      <c r="BM62" s="58" t="n">
        <f aca="false">BM60-BM61</f>
        <v>7094959034.2394</v>
      </c>
      <c r="BN62" s="58" t="n">
        <f aca="false">BN60-BN61</f>
        <v>6526367784.05316</v>
      </c>
      <c r="BO62" s="58" t="n">
        <f aca="false">BO60-BO61</f>
        <v>5957776533.86692</v>
      </c>
      <c r="BP62" s="58" t="n">
        <f aca="false">BP60-BP61</f>
        <v>2234463033.09547</v>
      </c>
      <c r="BQ62" s="58" t="n">
        <f aca="false">BQ60-BQ61</f>
        <v>7094959034.2394</v>
      </c>
      <c r="BR62" s="58" t="n">
        <f aca="false">BR60-BR61</f>
        <v>6526367784.05316</v>
      </c>
      <c r="BS62" s="58" t="n">
        <f aca="false">BS60-BS61</f>
        <v>5957776533.86692</v>
      </c>
      <c r="BT62" s="58" t="n">
        <f aca="false">BT60-BT61</f>
        <v>6482175133.18478</v>
      </c>
      <c r="BU62" s="58" t="n">
        <f aca="false">BU60-BU61</f>
        <v>5913583882.99854</v>
      </c>
      <c r="BV62" s="58" t="n">
        <f aca="false">BV60-BV61</f>
        <v>3588607145.43769</v>
      </c>
      <c r="BW62" s="58" t="n">
        <f aca="false">BW60-BW61</f>
        <v>11425741332.3415</v>
      </c>
      <c r="BX62" s="58" t="n">
        <f aca="false">BX60-BX61</f>
        <v>6470987827.53237</v>
      </c>
      <c r="BY62" s="58" t="n">
        <f aca="false">BY60-BY61</f>
        <v>7375717516.81336</v>
      </c>
      <c r="BZ62" s="58" t="n">
        <f aca="false">BZ60-BZ61</f>
        <v>6799081345.80648</v>
      </c>
      <c r="CA62" s="58" t="n">
        <f aca="false">CA60-CA61</f>
        <v>6222445174.79961</v>
      </c>
      <c r="CB62" s="58" t="n">
        <f aca="false">CB60-CB61</f>
        <v>2507176594.84879</v>
      </c>
      <c r="CC62" s="58" t="n">
        <f aca="false">CC60-CC61</f>
        <v>7375717516.81336</v>
      </c>
      <c r="CD62" s="58" t="n">
        <f aca="false">CD60-CD61</f>
        <v>6799081345.80648</v>
      </c>
      <c r="CE62" s="58" t="n">
        <f aca="false">CE60-CE61</f>
        <v>6222445174.79961</v>
      </c>
      <c r="CF62" s="58" t="n">
        <f aca="false">CF60-CF61</f>
        <v>6754888694.93811</v>
      </c>
      <c r="CG62" s="58" t="n">
        <f aca="false">CG60-CG61</f>
        <v>6178252523.93123</v>
      </c>
      <c r="CH62" s="58" t="n">
        <f aca="false">CH60-CH61</f>
        <v>3884053361.84305</v>
      </c>
      <c r="CI62" s="58" t="n">
        <f aca="false">CI60-CI61</f>
        <v>11786149231.9734</v>
      </c>
      <c r="CJ62" s="58" t="n">
        <f aca="false">CJ60-CJ61</f>
        <v>6747988104.75335</v>
      </c>
      <c r="CK62" s="58" t="n">
        <f aca="false">CK60-CK61</f>
        <v>7666632777.26376</v>
      </c>
      <c r="CL62" s="58" t="n">
        <f aca="false">CL60-CL61</f>
        <v>7081739727.27476</v>
      </c>
      <c r="CM62" s="58" t="n">
        <f aca="false">CM60-CM61</f>
        <v>6496846677.28576</v>
      </c>
      <c r="CN62" s="58" t="n">
        <f aca="false">CN60-CN61</f>
        <v>2789834976.31707</v>
      </c>
      <c r="CO62" s="58" t="n">
        <f aca="false">CO60-CO61</f>
        <v>7666632777.26376</v>
      </c>
      <c r="CP62" s="58" t="n">
        <f aca="false">CP60-CP61</f>
        <v>7081739727.27476</v>
      </c>
      <c r="CQ62" s="58" t="n">
        <f aca="false">CQ60-CQ61</f>
        <v>6496846677.28576</v>
      </c>
      <c r="CR62" s="58" t="n">
        <f aca="false">CR60-CR61</f>
        <v>7037547076.40638</v>
      </c>
      <c r="CS62" s="58" t="n">
        <f aca="false">CS60-CS61</f>
        <v>6452654026.41739</v>
      </c>
      <c r="CT62" s="58" t="n">
        <f aca="false">CT60-CT61</f>
        <v>4189722438.11262</v>
      </c>
    </row>
    <row r="63" customFormat="false" ht="27" hidden="false" customHeight="true" outlineLevel="0" collapsed="false">
      <c r="B63" s="71" t="s">
        <v>636</v>
      </c>
      <c r="C63" s="58" t="n">
        <f aca="false">Recursos!C20-('Gastos objeto'!C17-'Gastos objeto'!C14-'Gastos objeto'!C15)</f>
        <v>7611849998.44532</v>
      </c>
      <c r="D63" s="58" t="n">
        <f aca="false">Recursos!D20-('Gastos objeto'!D17-'Gastos objeto'!D14-'Gastos objeto'!D15)</f>
        <v>2622887929.09003</v>
      </c>
      <c r="E63" s="58" t="n">
        <f aca="false">Recursos!E20-('Gastos objeto'!E17-'Gastos objeto'!E14-'Gastos objeto'!E15)</f>
        <v>1184996874.25411</v>
      </c>
      <c r="F63" s="58" t="n">
        <f aca="false">Recursos!F20-('Gastos objeto'!F17-'Gastos objeto'!F14-'Gastos objeto'!F15)</f>
        <v>84083760.2469597</v>
      </c>
      <c r="G63" s="58" t="n">
        <f aca="false">Recursos!G20-('Gastos objeto'!G17-'Gastos objeto'!G14-'Gastos objeto'!G15)</f>
        <v>-996528345.787979</v>
      </c>
      <c r="H63" s="58" t="n">
        <f aca="false">Recursos!H20-('Gastos objeto'!H17-'Gastos objeto'!H14-'Gastos objeto'!H15)</f>
        <v>-4745376068.26893</v>
      </c>
      <c r="I63" s="58" t="n">
        <f aca="false">Recursos!I20-('Gastos objeto'!I17-'Gastos objeto'!I14-'Gastos objeto'!I15)</f>
        <v>48983695.2211113</v>
      </c>
      <c r="J63" s="58" t="n">
        <f aca="false">Recursos!J20-('Gastos objeto'!J17-'Gastos objeto'!J14-'Gastos objeto'!J15)</f>
        <v>-473772325.28344</v>
      </c>
      <c r="K63" s="58" t="n">
        <f aca="false">Recursos!K20-('Gastos objeto'!K17-'Gastos objeto'!K14-'Gastos objeto'!K15)</f>
        <v>-996528345.787975</v>
      </c>
      <c r="L63" s="58" t="n">
        <f aca="false">Recursos!L20-('Gastos objeto'!L17-'Gastos objeto'!L14-'Gastos objeto'!L15)</f>
        <v>-497663968.179619</v>
      </c>
      <c r="M63" s="58" t="n">
        <f aca="false">Recursos!M20-('Gastos objeto'!M17-'Gastos objeto'!M14-'Gastos objeto'!M15)</f>
        <v>-442262895.181557</v>
      </c>
      <c r="N63" s="58" t="n">
        <f aca="false">Recursos!N20-('Gastos objeto'!N17-'Gastos objeto'!N14-'Gastos objeto'!N15)</f>
        <v>-1824552605.16982</v>
      </c>
      <c r="O63" s="58" t="n">
        <f aca="false">Recursos!O20-('Gastos objeto'!O17-'Gastos objeto'!O14-'Gastos objeto'!O15)</f>
        <v>8055986512.40938</v>
      </c>
      <c r="P63" s="58" t="n">
        <f aca="false">Recursos!P20-('Gastos objeto'!P17-'Gastos objeto'!P14-'Gastos objeto'!P15)</f>
        <v>2935539487.89256</v>
      </c>
      <c r="Q63" s="58" t="n">
        <f aca="false">Recursos!Q20-('Gastos objeto'!Q17-'Gastos objeto'!Q14-'Gastos objeto'!Q15)</f>
        <v>1521588862.03984</v>
      </c>
      <c r="R63" s="58" t="n">
        <f aca="false">Recursos!R20-('Gastos objeto'!R17-'Gastos objeto'!R14-'Gastos objeto'!R15)</f>
        <v>407220969.495026</v>
      </c>
      <c r="S63" s="58" t="n">
        <f aca="false">Recursos!S20-('Gastos objeto'!S17-'Gastos objeto'!S14-'Gastos objeto'!S15)</f>
        <v>-686845915.077587</v>
      </c>
      <c r="T63" s="58" t="n">
        <f aca="false">Recursos!T20-('Gastos objeto'!T17-'Gastos objeto'!T14-'Gastos objeto'!T15)</f>
        <v>-4422238859.02087</v>
      </c>
      <c r="U63" s="58" t="n">
        <f aca="false">Recursos!U20-('Gastos objeto'!U17-'Gastos objeto'!U14-'Gastos objeto'!U15)</f>
        <v>385575683.006847</v>
      </c>
      <c r="V63" s="58" t="n">
        <f aca="false">Recursos!V20-('Gastos objeto'!V17-'Gastos objeto'!V14-'Gastos objeto'!V15)</f>
        <v>-150635116.035374</v>
      </c>
      <c r="W63" s="58" t="n">
        <f aca="false">Recursos!W20-('Gastos objeto'!W17-'Gastos objeto'!W14-'Gastos objeto'!W15)</f>
        <v>-686845915.077583</v>
      </c>
      <c r="X63" s="58" t="n">
        <f aca="false">Recursos!X20-('Gastos objeto'!X17-'Gastos objeto'!X14-'Gastos objeto'!X15)</f>
        <v>-174526758.931553</v>
      </c>
      <c r="Y63" s="58" t="n">
        <f aca="false">Recursos!Y20-('Gastos objeto'!Y17-'Gastos objeto'!Y14-'Gastos objeto'!Y15)</f>
        <v>-132580464.471165</v>
      </c>
      <c r="Z63" s="58" t="n">
        <f aca="false">Recursos!Z20-('Gastos objeto'!Z17-'Gastos objeto'!Z14-'Gastos objeto'!Z15)</f>
        <v>-1467083018.61606</v>
      </c>
      <c r="AA63" s="58" t="n">
        <f aca="false">Recursos!AA20-('Gastos objeto'!AA17-'Gastos objeto'!AA14-'Gastos objeto'!AA15)</f>
        <v>8316472392.47869</v>
      </c>
      <c r="AB63" s="58" t="n">
        <f aca="false">Recursos!AB20-('Gastos objeto'!AB17-'Gastos objeto'!AB14-'Gastos objeto'!AB15)</f>
        <v>3101302494.35933</v>
      </c>
      <c r="AC63" s="58" t="n">
        <f aca="false">Recursos!AC20-('Gastos objeto'!AC17-'Gastos objeto'!AC14-'Gastos objeto'!AC15)</f>
        <v>1703238860.79299</v>
      </c>
      <c r="AD63" s="58" t="n">
        <f aca="false">Recursos!AD20-('Gastos objeto'!AD17-'Gastos objeto'!AD14-'Gastos objeto'!AD15)</f>
        <v>579475509.085365</v>
      </c>
      <c r="AE63" s="58" t="n">
        <f aca="false">Recursos!AE20-('Gastos objeto'!AE17-'Gastos objeto'!AE14-'Gastos objeto'!AE15)</f>
        <v>-523986834.650047</v>
      </c>
      <c r="AF63" s="58" t="n">
        <f aca="false">Recursos!AF20-('Gastos objeto'!AF17-'Gastos objeto'!AF14-'Gastos objeto'!AF15)</f>
        <v>-4249984319.43053</v>
      </c>
      <c r="AG63" s="58" t="n">
        <f aca="false">Recursos!AG20-('Gastos objeto'!AG17-'Gastos objeto'!AG14-'Gastos objeto'!AG15)</f>
        <v>567225681.759991</v>
      </c>
      <c r="AH63" s="58" t="n">
        <f aca="false">Recursos!AH20-('Gastos objeto'!AH17-'Gastos objeto'!AH14-'Gastos objeto'!AH15)</f>
        <v>21619423.5549698</v>
      </c>
      <c r="AI63" s="58" t="n">
        <f aca="false">Recursos!AI20-('Gastos objeto'!AI17-'Gastos objeto'!AI14-'Gastos objeto'!AI15)</f>
        <v>-523986834.650047</v>
      </c>
      <c r="AJ63" s="58" t="n">
        <f aca="false">Recursos!AJ20-('Gastos objeto'!AJ17-'Gastos objeto'!AJ14-'Gastos objeto'!AJ15)</f>
        <v>-2272219.34121323</v>
      </c>
      <c r="AK63" s="58" t="n">
        <f aca="false">Recursos!AK20-('Gastos objeto'!AK17-'Gastos objeto'!AK14-'Gastos objeto'!AK15)</f>
        <v>30278615.9563713</v>
      </c>
      <c r="AL63" s="58" t="n">
        <f aca="false">Recursos!AL20-('Gastos objeto'!AL17-'Gastos objeto'!AL14-'Gastos objeto'!AL15)</f>
        <v>-1268777745.60204</v>
      </c>
      <c r="AM63" s="58" t="n">
        <f aca="false">Recursos!AM20-('Gastos objeto'!AM17-'Gastos objeto'!AM14-'Gastos objeto'!AM15)</f>
        <v>8589629539.9949</v>
      </c>
      <c r="AN63" s="58" t="n">
        <f aca="false">Recursos!AN20-('Gastos objeto'!AN17-'Gastos objeto'!AN14-'Gastos objeto'!AN15)</f>
        <v>3296841415.57794</v>
      </c>
      <c r="AO63" s="58" t="n">
        <f aca="false">Recursos!AO20-('Gastos objeto'!AO17-'Gastos objeto'!AO14-'Gastos objeto'!AO15)</f>
        <v>1910977110.83611</v>
      </c>
      <c r="AP63" s="58" t="n">
        <f aca="false">Recursos!AP20-('Gastos objeto'!AP17-'Gastos objeto'!AP14-'Gastos objeto'!AP15)</f>
        <v>779694016.804527</v>
      </c>
      <c r="AQ63" s="58" t="n">
        <f aca="false">Recursos!AQ20-('Gastos objeto'!AQ17-'Gastos objeto'!AQ14-'Gastos objeto'!AQ15)</f>
        <v>-331288069.254852</v>
      </c>
      <c r="AR63" s="58" t="n">
        <f aca="false">Recursos!AR20-('Gastos objeto'!AR17-'Gastos objeto'!AR14-'Gastos objeto'!AR15)</f>
        <v>-4049765811.71136</v>
      </c>
      <c r="AS63" s="58" t="n">
        <f aca="false">Recursos!AS20-('Gastos objeto'!AS17-'Gastos objeto'!AS14-'Gastos objeto'!AS15)</f>
        <v>774963931.803112</v>
      </c>
      <c r="AT63" s="58" t="n">
        <f aca="false">Recursos!AT20-('Gastos objeto'!AT17-'Gastos objeto'!AT14-'Gastos objeto'!AT15)</f>
        <v>221837931.274132</v>
      </c>
      <c r="AU63" s="58" t="n">
        <f aca="false">Recursos!AU20-('Gastos objeto'!AU17-'Gastos objeto'!AU14-'Gastos objeto'!AU15)</f>
        <v>-331288069.254852</v>
      </c>
      <c r="AV63" s="58" t="n">
        <f aca="false">Recursos!AV20-('Gastos objeto'!AV17-'Gastos objeto'!AV14-'Gastos objeto'!AV15)</f>
        <v>197946288.377949</v>
      </c>
      <c r="AW63" s="58" t="n">
        <f aca="false">Recursos!AW20-('Gastos objeto'!AW17-'Gastos objeto'!AW14-'Gastos objeto'!AW15)</f>
        <v>222977381.351566</v>
      </c>
      <c r="AX63" s="58" t="n">
        <f aca="false">Recursos!AX20-('Gastos objeto'!AX17-'Gastos objeto'!AX14-'Gastos objeto'!AX15)</f>
        <v>-1046419363.67643</v>
      </c>
      <c r="AY63" s="58" t="n">
        <f aca="false">Recursos!AY20-('Gastos objeto'!AY17-'Gastos objeto'!AY14-'Gastos objeto'!AY15)</f>
        <v>8916250030.91228</v>
      </c>
      <c r="AZ63" s="58" t="n">
        <f aca="false">Recursos!AZ20-('Gastos objeto'!AZ17-'Gastos objeto'!AZ14-'Gastos objeto'!AZ15)</f>
        <v>3545074641.68405</v>
      </c>
      <c r="BA63" s="58" t="n">
        <f aca="false">Recursos!BA20-('Gastos objeto'!BA17-'Gastos objeto'!BA14-'Gastos objeto'!BA15)</f>
        <v>2171691442.89756</v>
      </c>
      <c r="BB63" s="58" t="n">
        <f aca="false">Recursos!BB20-('Gastos objeto'!BB17-'Gastos objeto'!BB14-'Gastos objeto'!BB15)</f>
        <v>1032778902.88754</v>
      </c>
      <c r="BC63" s="58" t="n">
        <f aca="false">Recursos!BC20-('Gastos objeto'!BC17-'Gastos objeto'!BC14-'Gastos objeto'!BC15)</f>
        <v>-85832629.1502724</v>
      </c>
      <c r="BD63" s="58" t="n">
        <f aca="false">Recursos!BD20-('Gastos objeto'!BD17-'Gastos objeto'!BD14-'Gastos objeto'!BD15)</f>
        <v>-3796680925.62835</v>
      </c>
      <c r="BE63" s="58" t="n">
        <f aca="false">Recursos!BE20-('Gastos objeto'!BE17-'Gastos objeto'!BE14-'Gastos objeto'!BE15)</f>
        <v>1035678263.86457</v>
      </c>
      <c r="BF63" s="58" t="n">
        <f aca="false">Recursos!BF20-('Gastos objeto'!BF17-'Gastos objeto'!BF14-'Gastos objeto'!BF15)</f>
        <v>474922817.357147</v>
      </c>
      <c r="BG63" s="58" t="n">
        <f aca="false">Recursos!BG20-('Gastos objeto'!BG17-'Gastos objeto'!BG14-'Gastos objeto'!BG15)</f>
        <v>-85832629.1502724</v>
      </c>
      <c r="BH63" s="58" t="n">
        <f aca="false">Recursos!BH20-('Gastos objeto'!BH17-'Gastos objeto'!BH14-'Gastos objeto'!BH15)</f>
        <v>451031174.460964</v>
      </c>
      <c r="BI63" s="58" t="n">
        <f aca="false">Recursos!BI20-('Gastos objeto'!BI17-'Gastos objeto'!BI14-'Gastos objeto'!BI15)</f>
        <v>468432821.456146</v>
      </c>
      <c r="BJ63" s="58" t="n">
        <f aca="false">Recursos!BJ20-('Gastos objeto'!BJ17-'Gastos objeto'!BJ14-'Gastos objeto'!BJ15)</f>
        <v>-771131120.632721</v>
      </c>
      <c r="BK63" s="58" t="n">
        <f aca="false">Recursos!BK20-('Gastos objeto'!BK17-'Gastos objeto'!BK14-'Gastos objeto'!BK15)</f>
        <v>9254019052.21893</v>
      </c>
      <c r="BL63" s="58" t="n">
        <f aca="false">Recursos!BL20-('Gastos objeto'!BL17-'Gastos objeto'!BL14-'Gastos objeto'!BL15)</f>
        <v>3802812679.50798</v>
      </c>
      <c r="BM63" s="58" t="n">
        <f aca="false">Recursos!BM20-('Gastos objeto'!BM17-'Gastos objeto'!BM14-'Gastos objeto'!BM15)</f>
        <v>2442384302.25821</v>
      </c>
      <c r="BN63" s="58" t="n">
        <f aca="false">Recursos!BN20-('Gastos objeto'!BN17-'Gastos objeto'!BN14-'Gastos objeto'!BN15)</f>
        <v>1295635958.56936</v>
      </c>
      <c r="BO63" s="58" t="n">
        <f aca="false">Recursos!BO20-('Gastos objeto'!BO17-'Gastos objeto'!BO14-'Gastos objeto'!BO15)</f>
        <v>169188622.852722</v>
      </c>
      <c r="BP63" s="58" t="n">
        <f aca="false">Recursos!BP20-('Gastos objeto'!BP17-'Gastos objeto'!BP14-'Gastos objeto'!BP15)</f>
        <v>-3533823869.94653</v>
      </c>
      <c r="BQ63" s="58" t="n">
        <f aca="false">Recursos!BQ20-('Gastos objeto'!BQ17-'Gastos objeto'!BQ14-'Gastos objeto'!BQ15)</f>
        <v>1306371123.22521</v>
      </c>
      <c r="BR63" s="58" t="n">
        <f aca="false">Recursos!BR20-('Gastos objeto'!BR17-'Gastos objeto'!BR14-'Gastos objeto'!BR15)</f>
        <v>737779873.038963</v>
      </c>
      <c r="BS63" s="58" t="n">
        <f aca="false">Recursos!BS20-('Gastos objeto'!BS17-'Gastos objeto'!BS14-'Gastos objeto'!BS15)</f>
        <v>169188622.852722</v>
      </c>
      <c r="BT63" s="58" t="n">
        <f aca="false">Recursos!BT20-('Gastos objeto'!BT17-'Gastos objeto'!BT14-'Gastos objeto'!BT15)</f>
        <v>713888230.14278</v>
      </c>
      <c r="BU63" s="58" t="n">
        <f aca="false">Recursos!BU20-('Gastos objeto'!BU17-'Gastos objeto'!BU14-'Gastos objeto'!BU15)</f>
        <v>723454073.459141</v>
      </c>
      <c r="BV63" s="58" t="n">
        <f aca="false">Recursos!BV20-('Gastos objeto'!BV17-'Gastos objeto'!BV14-'Gastos objeto'!BV15)</f>
        <v>-485810493.040909</v>
      </c>
      <c r="BW63" s="58" t="n">
        <f aca="false">Recursos!BW20-('Gastos objeto'!BW17-'Gastos objeto'!BW14-'Gastos objeto'!BW15)</f>
        <v>9603049043.9567</v>
      </c>
      <c r="BX63" s="58" t="n">
        <f aca="false">Recursos!BX20-('Gastos objeto'!BX17-'Gastos objeto'!BX14-'Gastos objeto'!BX15)</f>
        <v>4070138445.64497</v>
      </c>
      <c r="BY63" s="58" t="n">
        <f aca="false">Recursos!BY20-('Gastos objeto'!BY17-'Gastos objeto'!BY14-'Gastos objeto'!BY15)</f>
        <v>2723142784.83217</v>
      </c>
      <c r="BZ63" s="58" t="n">
        <f aca="false">Recursos!BZ20-('Gastos objeto'!BZ17-'Gastos objeto'!BZ14-'Gastos objeto'!BZ15)</f>
        <v>1568349520.32269</v>
      </c>
      <c r="CA63" s="58" t="n">
        <f aca="false">Recursos!CA20-('Gastos objeto'!CA17-'Gastos objeto'!CA14-'Gastos objeto'!CA15)</f>
        <v>433857263.785416</v>
      </c>
      <c r="CB63" s="58" t="n">
        <f aca="false">Recursos!CB20-('Gastos objeto'!CB17-'Gastos objeto'!CB14-'Gastos objeto'!CB15)</f>
        <v>-3261110308.19321</v>
      </c>
      <c r="CC63" s="58" t="n">
        <f aca="false">Recursos!CC20-('Gastos objeto'!CC17-'Gastos objeto'!CC14-'Gastos objeto'!CC15)</f>
        <v>1587129605.79917</v>
      </c>
      <c r="CD63" s="58" t="n">
        <f aca="false">Recursos!CD20-('Gastos objeto'!CD17-'Gastos objeto'!CD14-'Gastos objeto'!CD15)</f>
        <v>1010493434.79229</v>
      </c>
      <c r="CE63" s="58" t="n">
        <f aca="false">Recursos!CE20-('Gastos objeto'!CE17-'Gastos objeto'!CE14-'Gastos objeto'!CE15)</f>
        <v>433857263.785416</v>
      </c>
      <c r="CF63" s="58" t="n">
        <f aca="false">Recursos!CF20-('Gastos objeto'!CF17-'Gastos objeto'!CF14-'Gastos objeto'!CF15)</f>
        <v>986601791.896107</v>
      </c>
      <c r="CG63" s="58" t="n">
        <f aca="false">Recursos!CG20-('Gastos objeto'!CG17-'Gastos objeto'!CG14-'Gastos objeto'!CG15)</f>
        <v>988122714.391834</v>
      </c>
      <c r="CH63" s="58" t="n">
        <f aca="false">Recursos!CH20-('Gastos objeto'!CH17-'Gastos objeto'!CH14-'Gastos objeto'!CH15)</f>
        <v>-190364276.635548</v>
      </c>
      <c r="CI63" s="58" t="n">
        <f aca="false">Recursos!CI20-('Gastos objeto'!CI17-'Gastos objeto'!CI14-'Gastos objeto'!CI15)</f>
        <v>9963456943.58863</v>
      </c>
      <c r="CJ63" s="58" t="n">
        <f aca="false">Recursos!CJ20-('Gastos objeto'!CJ17-'Gastos objeto'!CJ14-'Gastos objeto'!CJ15)</f>
        <v>4347138722.86595</v>
      </c>
      <c r="CK63" s="58" t="n">
        <f aca="false">Recursos!CK20-('Gastos objeto'!CK17-'Gastos objeto'!CK14-'Gastos objeto'!CK15)</f>
        <v>3014058045.28256</v>
      </c>
      <c r="CL63" s="58" t="n">
        <f aca="false">Recursos!CL20-('Gastos objeto'!CL17-'Gastos objeto'!CL14-'Gastos objeto'!CL15)</f>
        <v>1851007901.79096</v>
      </c>
      <c r="CM63" s="58" t="n">
        <f aca="false">Recursos!CM20-('Gastos objeto'!CM17-'Gastos objeto'!CM14-'Gastos objeto'!CM15)</f>
        <v>708258766.271568</v>
      </c>
      <c r="CN63" s="58" t="n">
        <f aca="false">Recursos!CN20-('Gastos objeto'!CN17-'Gastos objeto'!CN14-'Gastos objeto'!CN15)</f>
        <v>-2978451926.72493</v>
      </c>
      <c r="CO63" s="58" t="n">
        <f aca="false">Recursos!CO20-('Gastos objeto'!CO17-'Gastos objeto'!CO14-'Gastos objeto'!CO15)</f>
        <v>1878044866.24956</v>
      </c>
      <c r="CP63" s="58" t="n">
        <f aca="false">Recursos!CP20-('Gastos objeto'!CP17-'Gastos objeto'!CP14-'Gastos objeto'!CP15)</f>
        <v>1293151816.26057</v>
      </c>
      <c r="CQ63" s="58" t="n">
        <f aca="false">Recursos!CQ20-('Gastos objeto'!CQ17-'Gastos objeto'!CQ14-'Gastos objeto'!CQ15)</f>
        <v>708258766.271568</v>
      </c>
      <c r="CR63" s="58" t="n">
        <f aca="false">Recursos!CR20-('Gastos objeto'!CR17-'Gastos objeto'!CR14-'Gastos objeto'!CR15)</f>
        <v>1269260173.36438</v>
      </c>
      <c r="CS63" s="58" t="n">
        <f aca="false">Recursos!CS20-('Gastos objeto'!CS17-'Gastos objeto'!CS14-'Gastos objeto'!CS15)</f>
        <v>1262524216.87799</v>
      </c>
      <c r="CT63" s="58" t="n">
        <f aca="false">Recursos!CT20-('Gastos objeto'!CT17-'Gastos objeto'!CT14-'Gastos objeto'!CT15)</f>
        <v>115304799.634018</v>
      </c>
    </row>
    <row r="65" customFormat="false" ht="64.5" hidden="false" customHeight="true" outlineLevel="0" collapsed="false">
      <c r="B65" s="22" t="s">
        <v>637</v>
      </c>
    </row>
    <row r="66" customFormat="false" ht="34.5" hidden="false" customHeight="true" outlineLevel="0" collapsed="false">
      <c r="B66" s="22" t="s">
        <v>638</v>
      </c>
    </row>
    <row r="67" customFormat="false" ht="45" hidden="false" customHeight="true" outlineLevel="0" collapsed="false">
      <c r="B67" s="22" t="s">
        <v>639</v>
      </c>
    </row>
    <row r="68" customFormat="false" ht="34.5" hidden="false" customHeight="true" outlineLevel="0" collapsed="false">
      <c r="B68" s="22" t="s">
        <v>640</v>
      </c>
    </row>
    <row r="70" customFormat="false" ht="54.75" hidden="false" customHeight="true" outlineLevel="0" collapsed="false">
      <c r="B70" s="22" t="s">
        <v>641</v>
      </c>
    </row>
  </sheetData>
  <conditionalFormatting sqref="C53:CT53">
    <cfRule type="cellIs" priority="2" operator="equal" aboveAverage="0" equalAverage="0" bottom="0" percent="0" rank="0" text="" dxfId="0">
      <formula>"ALERTA"</formula>
    </cfRule>
  </conditionalFormatting>
  <conditionalFormatting sqref="C55:CT55">
    <cfRule type="cellIs" priority="3" operator="equal" aboveAverage="0" equalAverage="0" bottom="0" percent="0" rank="0" text="" dxfId="0">
      <formula>"USA AFECTADOS"</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CT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6"/>
    <col collapsed="false" customWidth="true" hidden="false" outlineLevel="0" max="98" min="3" style="1" width="11"/>
  </cols>
  <sheetData>
    <row r="2" customFormat="false" ht="15.75" hidden="false" customHeight="true" outlineLevel="0" collapsed="false">
      <c r="B2" s="16" t="s">
        <v>642</v>
      </c>
    </row>
    <row r="3" customFormat="false" ht="15" hidden="false" customHeight="true" outlineLevel="0" collapsed="false">
      <c r="B3" s="4" t="s">
        <v>643</v>
      </c>
    </row>
    <row r="5" customFormat="false" ht="15" hidden="false" customHeight="true" outlineLevel="0" collapsed="false">
      <c r="B5" s="52" t="s">
        <v>541</v>
      </c>
      <c r="C5" s="52" t="s">
        <v>542</v>
      </c>
      <c r="D5" s="53"/>
      <c r="E5" s="53"/>
      <c r="F5" s="53"/>
      <c r="G5" s="53"/>
      <c r="H5" s="53"/>
      <c r="I5" s="53"/>
      <c r="J5" s="53"/>
      <c r="K5" s="53"/>
      <c r="L5" s="53"/>
      <c r="M5" s="53"/>
      <c r="N5" s="53"/>
      <c r="O5" s="52" t="s">
        <v>543</v>
      </c>
      <c r="P5" s="53"/>
      <c r="Q5" s="53"/>
      <c r="R5" s="53"/>
      <c r="S5" s="53"/>
      <c r="T5" s="53"/>
      <c r="U5" s="53"/>
      <c r="V5" s="53"/>
      <c r="W5" s="53"/>
      <c r="X5" s="53"/>
      <c r="Y5" s="53"/>
      <c r="Z5" s="53"/>
      <c r="AA5" s="52" t="s">
        <v>544</v>
      </c>
      <c r="AB5" s="53"/>
      <c r="AC5" s="53"/>
      <c r="AD5" s="53"/>
      <c r="AE5" s="53"/>
      <c r="AF5" s="53"/>
      <c r="AG5" s="53"/>
      <c r="AH5" s="53"/>
      <c r="AI5" s="53"/>
      <c r="AJ5" s="53"/>
      <c r="AK5" s="53"/>
      <c r="AL5" s="53"/>
      <c r="AM5" s="52" t="s">
        <v>545</v>
      </c>
      <c r="AN5" s="53"/>
      <c r="AO5" s="53"/>
      <c r="AP5" s="53"/>
      <c r="AQ5" s="53"/>
      <c r="AR5" s="53"/>
      <c r="AS5" s="53"/>
      <c r="AT5" s="53"/>
      <c r="AU5" s="53"/>
      <c r="AV5" s="53"/>
      <c r="AW5" s="53"/>
      <c r="AX5" s="53"/>
      <c r="AY5" s="52" t="s">
        <v>546</v>
      </c>
      <c r="AZ5" s="53"/>
      <c r="BA5" s="53"/>
      <c r="BB5" s="53"/>
      <c r="BC5" s="53"/>
      <c r="BD5" s="53"/>
      <c r="BE5" s="53"/>
      <c r="BF5" s="53"/>
      <c r="BG5" s="53"/>
      <c r="BH5" s="53"/>
      <c r="BI5" s="53"/>
      <c r="BJ5" s="53"/>
      <c r="BK5" s="52" t="s">
        <v>547</v>
      </c>
      <c r="BL5" s="53"/>
      <c r="BM5" s="53"/>
      <c r="BN5" s="53"/>
      <c r="BO5" s="53"/>
      <c r="BP5" s="53"/>
      <c r="BQ5" s="53"/>
      <c r="BR5" s="53"/>
      <c r="BS5" s="53"/>
      <c r="BT5" s="53"/>
      <c r="BU5" s="53"/>
      <c r="BV5" s="53"/>
      <c r="BW5" s="52" t="s">
        <v>548</v>
      </c>
      <c r="BX5" s="53"/>
      <c r="BY5" s="53"/>
      <c r="BZ5" s="53"/>
      <c r="CA5" s="53"/>
      <c r="CB5" s="53"/>
      <c r="CC5" s="53"/>
      <c r="CD5" s="53"/>
      <c r="CE5" s="53"/>
      <c r="CF5" s="53"/>
      <c r="CG5" s="53"/>
      <c r="CH5" s="53"/>
      <c r="CI5" s="52" t="s">
        <v>549</v>
      </c>
      <c r="CJ5" s="53"/>
      <c r="CK5" s="53"/>
      <c r="CL5" s="53"/>
      <c r="CM5" s="53"/>
      <c r="CN5" s="53"/>
      <c r="CO5" s="53"/>
      <c r="CP5" s="53"/>
      <c r="CQ5" s="53"/>
      <c r="CR5" s="53"/>
      <c r="CS5" s="53"/>
      <c r="CT5" s="53"/>
    </row>
    <row r="6" customFormat="false" ht="15" hidden="false" customHeight="true" outlineLevel="0" collapsed="false">
      <c r="B6" s="54" t="s">
        <v>550</v>
      </c>
      <c r="C6" s="55" t="s">
        <v>505</v>
      </c>
      <c r="D6" s="55" t="s">
        <v>506</v>
      </c>
      <c r="E6" s="55" t="s">
        <v>507</v>
      </c>
      <c r="F6" s="55" t="s">
        <v>508</v>
      </c>
      <c r="G6" s="55" t="s">
        <v>509</v>
      </c>
      <c r="H6" s="55" t="s">
        <v>510</v>
      </c>
      <c r="I6" s="55" t="s">
        <v>511</v>
      </c>
      <c r="J6" s="55" t="s">
        <v>512</v>
      </c>
      <c r="K6" s="55" t="s">
        <v>513</v>
      </c>
      <c r="L6" s="55" t="s">
        <v>514</v>
      </c>
      <c r="M6" s="55" t="s">
        <v>515</v>
      </c>
      <c r="N6" s="55" t="s">
        <v>516</v>
      </c>
      <c r="O6" s="55" t="s">
        <v>505</v>
      </c>
      <c r="P6" s="55" t="s">
        <v>506</v>
      </c>
      <c r="Q6" s="55" t="s">
        <v>507</v>
      </c>
      <c r="R6" s="55" t="s">
        <v>508</v>
      </c>
      <c r="S6" s="55" t="s">
        <v>509</v>
      </c>
      <c r="T6" s="55" t="s">
        <v>510</v>
      </c>
      <c r="U6" s="55" t="s">
        <v>511</v>
      </c>
      <c r="V6" s="55" t="s">
        <v>512</v>
      </c>
      <c r="W6" s="55" t="s">
        <v>513</v>
      </c>
      <c r="X6" s="55" t="s">
        <v>514</v>
      </c>
      <c r="Y6" s="55" t="s">
        <v>515</v>
      </c>
      <c r="Z6" s="55" t="s">
        <v>516</v>
      </c>
      <c r="AA6" s="55" t="s">
        <v>505</v>
      </c>
      <c r="AB6" s="55" t="s">
        <v>506</v>
      </c>
      <c r="AC6" s="55" t="s">
        <v>507</v>
      </c>
      <c r="AD6" s="55" t="s">
        <v>508</v>
      </c>
      <c r="AE6" s="55" t="s">
        <v>509</v>
      </c>
      <c r="AF6" s="55" t="s">
        <v>510</v>
      </c>
      <c r="AG6" s="55" t="s">
        <v>511</v>
      </c>
      <c r="AH6" s="55" t="s">
        <v>512</v>
      </c>
      <c r="AI6" s="55" t="s">
        <v>513</v>
      </c>
      <c r="AJ6" s="55" t="s">
        <v>514</v>
      </c>
      <c r="AK6" s="55" t="s">
        <v>515</v>
      </c>
      <c r="AL6" s="55" t="s">
        <v>516</v>
      </c>
      <c r="AM6" s="55" t="s">
        <v>505</v>
      </c>
      <c r="AN6" s="55" t="s">
        <v>506</v>
      </c>
      <c r="AO6" s="55" t="s">
        <v>507</v>
      </c>
      <c r="AP6" s="55" t="s">
        <v>508</v>
      </c>
      <c r="AQ6" s="55" t="s">
        <v>509</v>
      </c>
      <c r="AR6" s="55" t="s">
        <v>510</v>
      </c>
      <c r="AS6" s="55" t="s">
        <v>511</v>
      </c>
      <c r="AT6" s="55" t="s">
        <v>512</v>
      </c>
      <c r="AU6" s="55" t="s">
        <v>513</v>
      </c>
      <c r="AV6" s="55" t="s">
        <v>514</v>
      </c>
      <c r="AW6" s="55" t="s">
        <v>515</v>
      </c>
      <c r="AX6" s="55" t="s">
        <v>516</v>
      </c>
      <c r="AY6" s="55" t="s">
        <v>505</v>
      </c>
      <c r="AZ6" s="55" t="s">
        <v>506</v>
      </c>
      <c r="BA6" s="55" t="s">
        <v>507</v>
      </c>
      <c r="BB6" s="55" t="s">
        <v>508</v>
      </c>
      <c r="BC6" s="55" t="s">
        <v>509</v>
      </c>
      <c r="BD6" s="55" t="s">
        <v>510</v>
      </c>
      <c r="BE6" s="55" t="s">
        <v>511</v>
      </c>
      <c r="BF6" s="55" t="s">
        <v>512</v>
      </c>
      <c r="BG6" s="55" t="s">
        <v>513</v>
      </c>
      <c r="BH6" s="55" t="s">
        <v>514</v>
      </c>
      <c r="BI6" s="55" t="s">
        <v>515</v>
      </c>
      <c r="BJ6" s="55" t="s">
        <v>516</v>
      </c>
      <c r="BK6" s="55" t="s">
        <v>505</v>
      </c>
      <c r="BL6" s="55" t="s">
        <v>506</v>
      </c>
      <c r="BM6" s="55" t="s">
        <v>507</v>
      </c>
      <c r="BN6" s="55" t="s">
        <v>508</v>
      </c>
      <c r="BO6" s="55" t="s">
        <v>509</v>
      </c>
      <c r="BP6" s="55" t="s">
        <v>510</v>
      </c>
      <c r="BQ6" s="55" t="s">
        <v>511</v>
      </c>
      <c r="BR6" s="55" t="s">
        <v>512</v>
      </c>
      <c r="BS6" s="55" t="s">
        <v>513</v>
      </c>
      <c r="BT6" s="55" t="s">
        <v>514</v>
      </c>
      <c r="BU6" s="55" t="s">
        <v>515</v>
      </c>
      <c r="BV6" s="55" t="s">
        <v>516</v>
      </c>
      <c r="BW6" s="55" t="s">
        <v>505</v>
      </c>
      <c r="BX6" s="55" t="s">
        <v>506</v>
      </c>
      <c r="BY6" s="55" t="s">
        <v>507</v>
      </c>
      <c r="BZ6" s="55" t="s">
        <v>508</v>
      </c>
      <c r="CA6" s="55" t="s">
        <v>509</v>
      </c>
      <c r="CB6" s="55" t="s">
        <v>510</v>
      </c>
      <c r="CC6" s="55" t="s">
        <v>511</v>
      </c>
      <c r="CD6" s="55" t="s">
        <v>512</v>
      </c>
      <c r="CE6" s="55" t="s">
        <v>513</v>
      </c>
      <c r="CF6" s="55" t="s">
        <v>514</v>
      </c>
      <c r="CG6" s="55" t="s">
        <v>515</v>
      </c>
      <c r="CH6" s="55" t="s">
        <v>516</v>
      </c>
      <c r="CI6" s="55" t="s">
        <v>505</v>
      </c>
      <c r="CJ6" s="55" t="s">
        <v>506</v>
      </c>
      <c r="CK6" s="55" t="s">
        <v>507</v>
      </c>
      <c r="CL6" s="55" t="s">
        <v>508</v>
      </c>
      <c r="CM6" s="55" t="s">
        <v>509</v>
      </c>
      <c r="CN6" s="55" t="s">
        <v>510</v>
      </c>
      <c r="CO6" s="55" t="s">
        <v>511</v>
      </c>
      <c r="CP6" s="55" t="s">
        <v>512</v>
      </c>
      <c r="CQ6" s="55" t="s">
        <v>513</v>
      </c>
      <c r="CR6" s="55" t="s">
        <v>514</v>
      </c>
      <c r="CS6" s="55" t="s">
        <v>515</v>
      </c>
      <c r="CT6" s="55" t="s">
        <v>516</v>
      </c>
    </row>
    <row r="7" customFormat="false" ht="15" hidden="false" customHeight="true" outlineLevel="0" collapsed="false">
      <c r="B7" s="56" t="s">
        <v>644</v>
      </c>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4"/>
      <c r="CN7" s="64"/>
      <c r="CO7" s="64"/>
      <c r="CP7" s="64"/>
      <c r="CQ7" s="64"/>
      <c r="CR7" s="64"/>
      <c r="CS7" s="64"/>
      <c r="CT7" s="64"/>
    </row>
    <row r="8" customFormat="false" ht="15" hidden="false" customHeight="true" outlineLevel="0" collapsed="false">
      <c r="B8" s="19" t="s">
        <v>332</v>
      </c>
      <c r="C8" s="57" t="n">
        <f aca="false">(Supuestos!$C$189)*(1+Supuestos!$C$36)^3*Estacionalidad!C$13</f>
        <v>370256531.50701</v>
      </c>
      <c r="D8" s="57" t="n">
        <f aca="false">(Supuestos!$C$189)*(1+Supuestos!$C$36)^3*Estacionalidad!D$13</f>
        <v>374827599.79722</v>
      </c>
      <c r="E8" s="57" t="n">
        <f aca="false">(Supuestos!$C$189)*(1+Supuestos!$C$36)^3*Estacionalidad!E$13</f>
        <v>383969736.37764</v>
      </c>
      <c r="F8" s="57" t="n">
        <f aca="false">(Supuestos!$C$189)*(1+Supuestos!$C$36)^3*Estacionalidad!F$13</f>
        <v>383969736.37764</v>
      </c>
      <c r="G8" s="57" t="n">
        <f aca="false">(Supuestos!$C$189)*(1+Supuestos!$C$36)^3*Estacionalidad!G$13</f>
        <v>383969736.37764</v>
      </c>
      <c r="H8" s="57" t="n">
        <f aca="false">(Supuestos!$C$189)*(1+Supuestos!$C$36)^3*Estacionalidad!H$13</f>
        <v>383969736.37764</v>
      </c>
      <c r="I8" s="57" t="n">
        <f aca="false">(Supuestos!$C$189)*(1+Supuestos!$C$36)^3*Estacionalidad!I$13</f>
        <v>383969736.37764</v>
      </c>
      <c r="J8" s="57" t="n">
        <f aca="false">(Supuestos!$C$189)*(1+Supuestos!$C$36)^3*Estacionalidad!J$13</f>
        <v>383969736.37764</v>
      </c>
      <c r="K8" s="57" t="n">
        <f aca="false">(Supuestos!$C$189)*(1+Supuestos!$C$36)^3*Estacionalidad!K$13</f>
        <v>383969736.37764</v>
      </c>
      <c r="L8" s="57" t="n">
        <f aca="false">(Supuestos!$C$189)*(1+Supuestos!$C$36)^3*Estacionalidad!L$13</f>
        <v>383969736.37764</v>
      </c>
      <c r="M8" s="57" t="n">
        <f aca="false">(Supuestos!$C$189)*(1+Supuestos!$C$36)^3*Estacionalidad!M$13</f>
        <v>383969736.37764</v>
      </c>
      <c r="N8" s="57" t="n">
        <f aca="false">(Supuestos!$C$189)*(1+Supuestos!$C$36)^3*Estacionalidad!N$13</f>
        <v>370256531.50701</v>
      </c>
      <c r="O8" s="57" t="n">
        <f aca="false">(Supuestos!$C$189)*(1+Supuestos!$C$36)^4*Estacionalidad!C$13</f>
        <v>370256531.50701</v>
      </c>
      <c r="P8" s="57" t="n">
        <f aca="false">(Supuestos!$C$189)*(1+Supuestos!$C$36)^4*Estacionalidad!D$13</f>
        <v>374827599.79722</v>
      </c>
      <c r="Q8" s="57" t="n">
        <f aca="false">(Supuestos!$C$189)*(1+Supuestos!$C$36)^4*Estacionalidad!E$13</f>
        <v>383969736.37764</v>
      </c>
      <c r="R8" s="57" t="n">
        <f aca="false">(Supuestos!$C$189)*(1+Supuestos!$C$36)^4*Estacionalidad!F$13</f>
        <v>383969736.37764</v>
      </c>
      <c r="S8" s="57" t="n">
        <f aca="false">(Supuestos!$C$189)*(1+Supuestos!$C$36)^4*Estacionalidad!G$13</f>
        <v>383969736.37764</v>
      </c>
      <c r="T8" s="57" t="n">
        <f aca="false">(Supuestos!$C$189)*(1+Supuestos!$C$36)^4*Estacionalidad!H$13</f>
        <v>383969736.37764</v>
      </c>
      <c r="U8" s="57" t="n">
        <f aca="false">(Supuestos!$C$189)*(1+Supuestos!$C$36)^4*Estacionalidad!I$13</f>
        <v>383969736.37764</v>
      </c>
      <c r="V8" s="57" t="n">
        <f aca="false">(Supuestos!$C$189)*(1+Supuestos!$C$36)^4*Estacionalidad!J$13</f>
        <v>383969736.37764</v>
      </c>
      <c r="W8" s="57" t="n">
        <f aca="false">(Supuestos!$C$189)*(1+Supuestos!$C$36)^4*Estacionalidad!K$13</f>
        <v>383969736.37764</v>
      </c>
      <c r="X8" s="57" t="n">
        <f aca="false">(Supuestos!$C$189)*(1+Supuestos!$C$36)^4*Estacionalidad!L$13</f>
        <v>383969736.37764</v>
      </c>
      <c r="Y8" s="57" t="n">
        <f aca="false">(Supuestos!$C$189)*(1+Supuestos!$C$36)^4*Estacionalidad!M$13</f>
        <v>383969736.37764</v>
      </c>
      <c r="Z8" s="57" t="n">
        <f aca="false">(Supuestos!$C$189)*(1+Supuestos!$C$36)^4*Estacionalidad!N$13</f>
        <v>370256531.50701</v>
      </c>
      <c r="AA8" s="57" t="n">
        <f aca="false">(Supuestos!$C$189)*(1+Supuestos!$C$36)^5*Estacionalidad!C$13</f>
        <v>370256531.50701</v>
      </c>
      <c r="AB8" s="57" t="n">
        <f aca="false">(Supuestos!$C$189)*(1+Supuestos!$C$36)^5*Estacionalidad!D$13</f>
        <v>374827599.79722</v>
      </c>
      <c r="AC8" s="57" t="n">
        <f aca="false">(Supuestos!$C$189)*(1+Supuestos!$C$36)^5*Estacionalidad!E$13</f>
        <v>383969736.37764</v>
      </c>
      <c r="AD8" s="57" t="n">
        <f aca="false">(Supuestos!$C$189)*(1+Supuestos!$C$36)^5*Estacionalidad!F$13</f>
        <v>383969736.37764</v>
      </c>
      <c r="AE8" s="57" t="n">
        <f aca="false">(Supuestos!$C$189)*(1+Supuestos!$C$36)^5*Estacionalidad!G$13</f>
        <v>383969736.37764</v>
      </c>
      <c r="AF8" s="57" t="n">
        <f aca="false">(Supuestos!$C$189)*(1+Supuestos!$C$36)^5*Estacionalidad!H$13</f>
        <v>383969736.37764</v>
      </c>
      <c r="AG8" s="57" t="n">
        <f aca="false">(Supuestos!$C$189)*(1+Supuestos!$C$36)^5*Estacionalidad!I$13</f>
        <v>383969736.37764</v>
      </c>
      <c r="AH8" s="57" t="n">
        <f aca="false">(Supuestos!$C$189)*(1+Supuestos!$C$36)^5*Estacionalidad!J$13</f>
        <v>383969736.37764</v>
      </c>
      <c r="AI8" s="57" t="n">
        <f aca="false">(Supuestos!$C$189)*(1+Supuestos!$C$36)^5*Estacionalidad!K$13</f>
        <v>383969736.37764</v>
      </c>
      <c r="AJ8" s="57" t="n">
        <f aca="false">(Supuestos!$C$189)*(1+Supuestos!$C$36)^5*Estacionalidad!L$13</f>
        <v>383969736.37764</v>
      </c>
      <c r="AK8" s="57" t="n">
        <f aca="false">(Supuestos!$C$189)*(1+Supuestos!$C$36)^5*Estacionalidad!M$13</f>
        <v>383969736.37764</v>
      </c>
      <c r="AL8" s="57" t="n">
        <f aca="false">(Supuestos!$C$189)*(1+Supuestos!$C$36)^5*Estacionalidad!N$13</f>
        <v>370256531.50701</v>
      </c>
      <c r="AM8" s="57" t="n">
        <f aca="false">(Supuestos!$C$189)*(1+Supuestos!$C$36)^6*Estacionalidad!C$13</f>
        <v>370256531.50701</v>
      </c>
      <c r="AN8" s="57" t="n">
        <f aca="false">(Supuestos!$C$189)*(1+Supuestos!$C$36)^6*Estacionalidad!D$13</f>
        <v>374827599.79722</v>
      </c>
      <c r="AO8" s="57" t="n">
        <f aca="false">(Supuestos!$C$189)*(1+Supuestos!$C$36)^6*Estacionalidad!E$13</f>
        <v>383969736.37764</v>
      </c>
      <c r="AP8" s="57" t="n">
        <f aca="false">(Supuestos!$C$189)*(1+Supuestos!$C$36)^6*Estacionalidad!F$13</f>
        <v>383969736.37764</v>
      </c>
      <c r="AQ8" s="57" t="n">
        <f aca="false">(Supuestos!$C$189)*(1+Supuestos!$C$36)^6*Estacionalidad!G$13</f>
        <v>383969736.37764</v>
      </c>
      <c r="AR8" s="57" t="n">
        <f aca="false">(Supuestos!$C$189)*(1+Supuestos!$C$36)^6*Estacionalidad!H$13</f>
        <v>383969736.37764</v>
      </c>
      <c r="AS8" s="57" t="n">
        <f aca="false">(Supuestos!$C$189)*(1+Supuestos!$C$36)^6*Estacionalidad!I$13</f>
        <v>383969736.37764</v>
      </c>
      <c r="AT8" s="57" t="n">
        <f aca="false">(Supuestos!$C$189)*(1+Supuestos!$C$36)^6*Estacionalidad!J$13</f>
        <v>383969736.37764</v>
      </c>
      <c r="AU8" s="57" t="n">
        <f aca="false">(Supuestos!$C$189)*(1+Supuestos!$C$36)^6*Estacionalidad!K$13</f>
        <v>383969736.37764</v>
      </c>
      <c r="AV8" s="57" t="n">
        <f aca="false">(Supuestos!$C$189)*(1+Supuestos!$C$36)^6*Estacionalidad!L$13</f>
        <v>383969736.37764</v>
      </c>
      <c r="AW8" s="57" t="n">
        <f aca="false">(Supuestos!$C$189)*(1+Supuestos!$C$36)^6*Estacionalidad!M$13</f>
        <v>383969736.37764</v>
      </c>
      <c r="AX8" s="57" t="n">
        <f aca="false">(Supuestos!$C$189)*(1+Supuestos!$C$36)^6*Estacionalidad!N$13</f>
        <v>370256531.50701</v>
      </c>
      <c r="AY8" s="57" t="n">
        <f aca="false">(Supuestos!$C$189)*(1+Supuestos!$C$36)^7*Estacionalidad!C$13</f>
        <v>370256531.50701</v>
      </c>
      <c r="AZ8" s="57" t="n">
        <f aca="false">(Supuestos!$C$189)*(1+Supuestos!$C$36)^7*Estacionalidad!D$13</f>
        <v>374827599.79722</v>
      </c>
      <c r="BA8" s="57" t="n">
        <f aca="false">(Supuestos!$C$189)*(1+Supuestos!$C$36)^7*Estacionalidad!E$13</f>
        <v>383969736.37764</v>
      </c>
      <c r="BB8" s="57" t="n">
        <f aca="false">(Supuestos!$C$189)*(1+Supuestos!$C$36)^7*Estacionalidad!F$13</f>
        <v>383969736.37764</v>
      </c>
      <c r="BC8" s="57" t="n">
        <f aca="false">(Supuestos!$C$189)*(1+Supuestos!$C$36)^7*Estacionalidad!G$13</f>
        <v>383969736.37764</v>
      </c>
      <c r="BD8" s="57" t="n">
        <f aca="false">(Supuestos!$C$189)*(1+Supuestos!$C$36)^7*Estacionalidad!H$13</f>
        <v>383969736.37764</v>
      </c>
      <c r="BE8" s="57" t="n">
        <f aca="false">(Supuestos!$C$189)*(1+Supuestos!$C$36)^7*Estacionalidad!I$13</f>
        <v>383969736.37764</v>
      </c>
      <c r="BF8" s="57" t="n">
        <f aca="false">(Supuestos!$C$189)*(1+Supuestos!$C$36)^7*Estacionalidad!J$13</f>
        <v>383969736.37764</v>
      </c>
      <c r="BG8" s="57" t="n">
        <f aca="false">(Supuestos!$C$189)*(1+Supuestos!$C$36)^7*Estacionalidad!K$13</f>
        <v>383969736.37764</v>
      </c>
      <c r="BH8" s="57" t="n">
        <f aca="false">(Supuestos!$C$189)*(1+Supuestos!$C$36)^7*Estacionalidad!L$13</f>
        <v>383969736.37764</v>
      </c>
      <c r="BI8" s="57" t="n">
        <f aca="false">(Supuestos!$C$189)*(1+Supuestos!$C$36)^7*Estacionalidad!M$13</f>
        <v>383969736.37764</v>
      </c>
      <c r="BJ8" s="57" t="n">
        <f aca="false">(Supuestos!$C$189)*(1+Supuestos!$C$36)^7*Estacionalidad!N$13</f>
        <v>370256531.50701</v>
      </c>
      <c r="BK8" s="57" t="n">
        <f aca="false">(Supuestos!$C$189)*(1+Supuestos!$C$36)^8*Estacionalidad!C$13</f>
        <v>370256531.50701</v>
      </c>
      <c r="BL8" s="57" t="n">
        <f aca="false">(Supuestos!$C$189)*(1+Supuestos!$C$36)^8*Estacionalidad!D$13</f>
        <v>374827599.79722</v>
      </c>
      <c r="BM8" s="57" t="n">
        <f aca="false">(Supuestos!$C$189)*(1+Supuestos!$C$36)^8*Estacionalidad!E$13</f>
        <v>383969736.37764</v>
      </c>
      <c r="BN8" s="57" t="n">
        <f aca="false">(Supuestos!$C$189)*(1+Supuestos!$C$36)^8*Estacionalidad!F$13</f>
        <v>383969736.37764</v>
      </c>
      <c r="BO8" s="57" t="n">
        <f aca="false">(Supuestos!$C$189)*(1+Supuestos!$C$36)^8*Estacionalidad!G$13</f>
        <v>383969736.37764</v>
      </c>
      <c r="BP8" s="57" t="n">
        <f aca="false">(Supuestos!$C$189)*(1+Supuestos!$C$36)^8*Estacionalidad!H$13</f>
        <v>383969736.37764</v>
      </c>
      <c r="BQ8" s="57" t="n">
        <f aca="false">(Supuestos!$C$189)*(1+Supuestos!$C$36)^8*Estacionalidad!I$13</f>
        <v>383969736.37764</v>
      </c>
      <c r="BR8" s="57" t="n">
        <f aca="false">(Supuestos!$C$189)*(1+Supuestos!$C$36)^8*Estacionalidad!J$13</f>
        <v>383969736.37764</v>
      </c>
      <c r="BS8" s="57" t="n">
        <f aca="false">(Supuestos!$C$189)*(1+Supuestos!$C$36)^8*Estacionalidad!K$13</f>
        <v>383969736.37764</v>
      </c>
      <c r="BT8" s="57" t="n">
        <f aca="false">(Supuestos!$C$189)*(1+Supuestos!$C$36)^8*Estacionalidad!L$13</f>
        <v>383969736.37764</v>
      </c>
      <c r="BU8" s="57" t="n">
        <f aca="false">(Supuestos!$C$189)*(1+Supuestos!$C$36)^8*Estacionalidad!M$13</f>
        <v>383969736.37764</v>
      </c>
      <c r="BV8" s="57" t="n">
        <f aca="false">(Supuestos!$C$189)*(1+Supuestos!$C$36)^8*Estacionalidad!N$13</f>
        <v>370256531.50701</v>
      </c>
      <c r="BW8" s="57" t="n">
        <f aca="false">(Supuestos!$C$189)*(1+Supuestos!$C$36)^9*Estacionalidad!C$13</f>
        <v>370256531.50701</v>
      </c>
      <c r="BX8" s="57" t="n">
        <f aca="false">(Supuestos!$C$189)*(1+Supuestos!$C$36)^9*Estacionalidad!D$13</f>
        <v>374827599.79722</v>
      </c>
      <c r="BY8" s="57" t="n">
        <f aca="false">(Supuestos!$C$189)*(1+Supuestos!$C$36)^9*Estacionalidad!E$13</f>
        <v>383969736.37764</v>
      </c>
      <c r="BZ8" s="57" t="n">
        <f aca="false">(Supuestos!$C$189)*(1+Supuestos!$C$36)^9*Estacionalidad!F$13</f>
        <v>383969736.37764</v>
      </c>
      <c r="CA8" s="57" t="n">
        <f aca="false">(Supuestos!$C$189)*(1+Supuestos!$C$36)^9*Estacionalidad!G$13</f>
        <v>383969736.37764</v>
      </c>
      <c r="CB8" s="57" t="n">
        <f aca="false">(Supuestos!$C$189)*(1+Supuestos!$C$36)^9*Estacionalidad!H$13</f>
        <v>383969736.37764</v>
      </c>
      <c r="CC8" s="57" t="n">
        <f aca="false">(Supuestos!$C$189)*(1+Supuestos!$C$36)^9*Estacionalidad!I$13</f>
        <v>383969736.37764</v>
      </c>
      <c r="CD8" s="57" t="n">
        <f aca="false">(Supuestos!$C$189)*(1+Supuestos!$C$36)^9*Estacionalidad!J$13</f>
        <v>383969736.37764</v>
      </c>
      <c r="CE8" s="57" t="n">
        <f aca="false">(Supuestos!$C$189)*(1+Supuestos!$C$36)^9*Estacionalidad!K$13</f>
        <v>383969736.37764</v>
      </c>
      <c r="CF8" s="57" t="n">
        <f aca="false">(Supuestos!$C$189)*(1+Supuestos!$C$36)^9*Estacionalidad!L$13</f>
        <v>383969736.37764</v>
      </c>
      <c r="CG8" s="57" t="n">
        <f aca="false">(Supuestos!$C$189)*(1+Supuestos!$C$36)^9*Estacionalidad!M$13</f>
        <v>383969736.37764</v>
      </c>
      <c r="CH8" s="57" t="n">
        <f aca="false">(Supuestos!$C$189)*(1+Supuestos!$C$36)^9*Estacionalidad!N$13</f>
        <v>370256531.50701</v>
      </c>
      <c r="CI8" s="57" t="n">
        <f aca="false">(Supuestos!$C$189)*(1+Supuestos!$C$36)^10*Estacionalidad!C$13</f>
        <v>370256531.50701</v>
      </c>
      <c r="CJ8" s="57" t="n">
        <f aca="false">(Supuestos!$C$189)*(1+Supuestos!$C$36)^10*Estacionalidad!D$13</f>
        <v>374827599.79722</v>
      </c>
      <c r="CK8" s="57" t="n">
        <f aca="false">(Supuestos!$C$189)*(1+Supuestos!$C$36)^10*Estacionalidad!E$13</f>
        <v>383969736.37764</v>
      </c>
      <c r="CL8" s="57" t="n">
        <f aca="false">(Supuestos!$C$189)*(1+Supuestos!$C$36)^10*Estacionalidad!F$13</f>
        <v>383969736.37764</v>
      </c>
      <c r="CM8" s="57" t="n">
        <f aca="false">(Supuestos!$C$189)*(1+Supuestos!$C$36)^10*Estacionalidad!G$13</f>
        <v>383969736.37764</v>
      </c>
      <c r="CN8" s="57" t="n">
        <f aca="false">(Supuestos!$C$189)*(1+Supuestos!$C$36)^10*Estacionalidad!H$13</f>
        <v>383969736.37764</v>
      </c>
      <c r="CO8" s="57" t="n">
        <f aca="false">(Supuestos!$C$189)*(1+Supuestos!$C$36)^10*Estacionalidad!I$13</f>
        <v>383969736.37764</v>
      </c>
      <c r="CP8" s="57" t="n">
        <f aca="false">(Supuestos!$C$189)*(1+Supuestos!$C$36)^10*Estacionalidad!J$13</f>
        <v>383969736.37764</v>
      </c>
      <c r="CQ8" s="57" t="n">
        <f aca="false">(Supuestos!$C$189)*(1+Supuestos!$C$36)^10*Estacionalidad!K$13</f>
        <v>383969736.37764</v>
      </c>
      <c r="CR8" s="57" t="n">
        <f aca="false">(Supuestos!$C$189)*(1+Supuestos!$C$36)^10*Estacionalidad!L$13</f>
        <v>383969736.37764</v>
      </c>
      <c r="CS8" s="57" t="n">
        <f aca="false">(Supuestos!$C$189)*(1+Supuestos!$C$36)^10*Estacionalidad!M$13</f>
        <v>383969736.37764</v>
      </c>
      <c r="CT8" s="57" t="n">
        <f aca="false">(Supuestos!$C$189)*(1+Supuestos!$C$36)^10*Estacionalidad!N$13</f>
        <v>370256531.50701</v>
      </c>
    </row>
    <row r="9" customFormat="false" ht="15" hidden="false" customHeight="true" outlineLevel="0" collapsed="false">
      <c r="B9" s="19" t="s">
        <v>335</v>
      </c>
      <c r="C9" s="57" t="n">
        <f aca="false">(Supuestos!$C$191)*(1+Supuestos!$C$36)^3*Estacionalidad!C$13</f>
        <v>2636697641.87277</v>
      </c>
      <c r="D9" s="57" t="n">
        <f aca="false">(Supuestos!$C$191)*(1+Supuestos!$C$36)^3*Estacionalidad!D$13</f>
        <v>2669249464.61194</v>
      </c>
      <c r="E9" s="57" t="n">
        <f aca="false">(Supuestos!$C$191)*(1+Supuestos!$C$36)^3*Estacionalidad!E$13</f>
        <v>2734353110.09028</v>
      </c>
      <c r="F9" s="57" t="n">
        <f aca="false">(Supuestos!$C$191)*(1+Supuestos!$C$36)^3*Estacionalidad!F$13</f>
        <v>2734353110.09028</v>
      </c>
      <c r="G9" s="57" t="n">
        <f aca="false">(Supuestos!$C$191)*(1+Supuestos!$C$36)^3*Estacionalidad!G$13</f>
        <v>2734353110.09028</v>
      </c>
      <c r="H9" s="57" t="n">
        <f aca="false">(Supuestos!$C$191)*(1+Supuestos!$C$36)^3*Estacionalidad!H$13</f>
        <v>2734353110.09028</v>
      </c>
      <c r="I9" s="57" t="n">
        <f aca="false">(Supuestos!$C$191)*(1+Supuestos!$C$36)^3*Estacionalidad!I$13</f>
        <v>2734353110.09028</v>
      </c>
      <c r="J9" s="57" t="n">
        <f aca="false">(Supuestos!$C$191)*(1+Supuestos!$C$36)^3*Estacionalidad!J$13</f>
        <v>2734353110.09028</v>
      </c>
      <c r="K9" s="57" t="n">
        <f aca="false">(Supuestos!$C$191)*(1+Supuestos!$C$36)^3*Estacionalidad!K$13</f>
        <v>2734353110.09028</v>
      </c>
      <c r="L9" s="57" t="n">
        <f aca="false">(Supuestos!$C$191)*(1+Supuestos!$C$36)^3*Estacionalidad!L$13</f>
        <v>2734353110.09028</v>
      </c>
      <c r="M9" s="57" t="n">
        <f aca="false">(Supuestos!$C$191)*(1+Supuestos!$C$36)^3*Estacionalidad!M$13</f>
        <v>2734353110.09028</v>
      </c>
      <c r="N9" s="57" t="n">
        <f aca="false">(Supuestos!$C$191)*(1+Supuestos!$C$36)^3*Estacionalidad!N$13</f>
        <v>2636697641.87277</v>
      </c>
      <c r="O9" s="57" t="n">
        <f aca="false">(Supuestos!$C$191)*(1+Supuestos!$C$36)^4*Estacionalidad!C$13</f>
        <v>2636697641.87277</v>
      </c>
      <c r="P9" s="57" t="n">
        <f aca="false">(Supuestos!$C$191)*(1+Supuestos!$C$36)^4*Estacionalidad!D$13</f>
        <v>2669249464.61194</v>
      </c>
      <c r="Q9" s="57" t="n">
        <f aca="false">(Supuestos!$C$191)*(1+Supuestos!$C$36)^4*Estacionalidad!E$13</f>
        <v>2734353110.09028</v>
      </c>
      <c r="R9" s="57" t="n">
        <f aca="false">(Supuestos!$C$191)*(1+Supuestos!$C$36)^4*Estacionalidad!F$13</f>
        <v>2734353110.09028</v>
      </c>
      <c r="S9" s="57" t="n">
        <f aca="false">(Supuestos!$C$191)*(1+Supuestos!$C$36)^4*Estacionalidad!G$13</f>
        <v>2734353110.09028</v>
      </c>
      <c r="T9" s="57" t="n">
        <f aca="false">(Supuestos!$C$191)*(1+Supuestos!$C$36)^4*Estacionalidad!H$13</f>
        <v>2734353110.09028</v>
      </c>
      <c r="U9" s="57" t="n">
        <f aca="false">(Supuestos!$C$191)*(1+Supuestos!$C$36)^4*Estacionalidad!I$13</f>
        <v>2734353110.09028</v>
      </c>
      <c r="V9" s="57" t="n">
        <f aca="false">(Supuestos!$C$191)*(1+Supuestos!$C$36)^4*Estacionalidad!J$13</f>
        <v>2734353110.09028</v>
      </c>
      <c r="W9" s="57" t="n">
        <f aca="false">(Supuestos!$C$191)*(1+Supuestos!$C$36)^4*Estacionalidad!K$13</f>
        <v>2734353110.09028</v>
      </c>
      <c r="X9" s="57" t="n">
        <f aca="false">(Supuestos!$C$191)*(1+Supuestos!$C$36)^4*Estacionalidad!L$13</f>
        <v>2734353110.09028</v>
      </c>
      <c r="Y9" s="57" t="n">
        <f aca="false">(Supuestos!$C$191)*(1+Supuestos!$C$36)^4*Estacionalidad!M$13</f>
        <v>2734353110.09028</v>
      </c>
      <c r="Z9" s="57" t="n">
        <f aca="false">(Supuestos!$C$191)*(1+Supuestos!$C$36)^4*Estacionalidad!N$13</f>
        <v>2636697641.87277</v>
      </c>
      <c r="AA9" s="57" t="n">
        <f aca="false">(Supuestos!$C$191)*(1+Supuestos!$C$36)^5*Estacionalidad!C$13</f>
        <v>2636697641.87277</v>
      </c>
      <c r="AB9" s="57" t="n">
        <f aca="false">(Supuestos!$C$191)*(1+Supuestos!$C$36)^5*Estacionalidad!D$13</f>
        <v>2669249464.61194</v>
      </c>
      <c r="AC9" s="57" t="n">
        <f aca="false">(Supuestos!$C$191)*(1+Supuestos!$C$36)^5*Estacionalidad!E$13</f>
        <v>2734353110.09028</v>
      </c>
      <c r="AD9" s="57" t="n">
        <f aca="false">(Supuestos!$C$191)*(1+Supuestos!$C$36)^5*Estacionalidad!F$13</f>
        <v>2734353110.09028</v>
      </c>
      <c r="AE9" s="57" t="n">
        <f aca="false">(Supuestos!$C$191)*(1+Supuestos!$C$36)^5*Estacionalidad!G$13</f>
        <v>2734353110.09028</v>
      </c>
      <c r="AF9" s="57" t="n">
        <f aca="false">(Supuestos!$C$191)*(1+Supuestos!$C$36)^5*Estacionalidad!H$13</f>
        <v>2734353110.09028</v>
      </c>
      <c r="AG9" s="57" t="n">
        <f aca="false">(Supuestos!$C$191)*(1+Supuestos!$C$36)^5*Estacionalidad!I$13</f>
        <v>2734353110.09028</v>
      </c>
      <c r="AH9" s="57" t="n">
        <f aca="false">(Supuestos!$C$191)*(1+Supuestos!$C$36)^5*Estacionalidad!J$13</f>
        <v>2734353110.09028</v>
      </c>
      <c r="AI9" s="57" t="n">
        <f aca="false">(Supuestos!$C$191)*(1+Supuestos!$C$36)^5*Estacionalidad!K$13</f>
        <v>2734353110.09028</v>
      </c>
      <c r="AJ9" s="57" t="n">
        <f aca="false">(Supuestos!$C$191)*(1+Supuestos!$C$36)^5*Estacionalidad!L$13</f>
        <v>2734353110.09028</v>
      </c>
      <c r="AK9" s="57" t="n">
        <f aca="false">(Supuestos!$C$191)*(1+Supuestos!$C$36)^5*Estacionalidad!M$13</f>
        <v>2734353110.09028</v>
      </c>
      <c r="AL9" s="57" t="n">
        <f aca="false">(Supuestos!$C$191)*(1+Supuestos!$C$36)^5*Estacionalidad!N$13</f>
        <v>2636697641.87277</v>
      </c>
      <c r="AM9" s="57" t="n">
        <f aca="false">(Supuestos!$C$191)*(1+Supuestos!$C$36)^6*Estacionalidad!C$13</f>
        <v>2636697641.87277</v>
      </c>
      <c r="AN9" s="57" t="n">
        <f aca="false">(Supuestos!$C$191)*(1+Supuestos!$C$36)^6*Estacionalidad!D$13</f>
        <v>2669249464.61194</v>
      </c>
      <c r="AO9" s="57" t="n">
        <f aca="false">(Supuestos!$C$191)*(1+Supuestos!$C$36)^6*Estacionalidad!E$13</f>
        <v>2734353110.09028</v>
      </c>
      <c r="AP9" s="57" t="n">
        <f aca="false">(Supuestos!$C$191)*(1+Supuestos!$C$36)^6*Estacionalidad!F$13</f>
        <v>2734353110.09028</v>
      </c>
      <c r="AQ9" s="57" t="n">
        <f aca="false">(Supuestos!$C$191)*(1+Supuestos!$C$36)^6*Estacionalidad!G$13</f>
        <v>2734353110.09028</v>
      </c>
      <c r="AR9" s="57" t="n">
        <f aca="false">(Supuestos!$C$191)*(1+Supuestos!$C$36)^6*Estacionalidad!H$13</f>
        <v>2734353110.09028</v>
      </c>
      <c r="AS9" s="57" t="n">
        <f aca="false">(Supuestos!$C$191)*(1+Supuestos!$C$36)^6*Estacionalidad!I$13</f>
        <v>2734353110.09028</v>
      </c>
      <c r="AT9" s="57" t="n">
        <f aca="false">(Supuestos!$C$191)*(1+Supuestos!$C$36)^6*Estacionalidad!J$13</f>
        <v>2734353110.09028</v>
      </c>
      <c r="AU9" s="57" t="n">
        <f aca="false">(Supuestos!$C$191)*(1+Supuestos!$C$36)^6*Estacionalidad!K$13</f>
        <v>2734353110.09028</v>
      </c>
      <c r="AV9" s="57" t="n">
        <f aca="false">(Supuestos!$C$191)*(1+Supuestos!$C$36)^6*Estacionalidad!L$13</f>
        <v>2734353110.09028</v>
      </c>
      <c r="AW9" s="57" t="n">
        <f aca="false">(Supuestos!$C$191)*(1+Supuestos!$C$36)^6*Estacionalidad!M$13</f>
        <v>2734353110.09028</v>
      </c>
      <c r="AX9" s="57" t="n">
        <f aca="false">(Supuestos!$C$191)*(1+Supuestos!$C$36)^6*Estacionalidad!N$13</f>
        <v>2636697641.87277</v>
      </c>
      <c r="AY9" s="57" t="n">
        <f aca="false">(Supuestos!$C$191)*(1+Supuestos!$C$36)^7*Estacionalidad!C$13</f>
        <v>2636697641.87277</v>
      </c>
      <c r="AZ9" s="57" t="n">
        <f aca="false">(Supuestos!$C$191)*(1+Supuestos!$C$36)^7*Estacionalidad!D$13</f>
        <v>2669249464.61194</v>
      </c>
      <c r="BA9" s="57" t="n">
        <f aca="false">(Supuestos!$C$191)*(1+Supuestos!$C$36)^7*Estacionalidad!E$13</f>
        <v>2734353110.09028</v>
      </c>
      <c r="BB9" s="57" t="n">
        <f aca="false">(Supuestos!$C$191)*(1+Supuestos!$C$36)^7*Estacionalidad!F$13</f>
        <v>2734353110.09028</v>
      </c>
      <c r="BC9" s="57" t="n">
        <f aca="false">(Supuestos!$C$191)*(1+Supuestos!$C$36)^7*Estacionalidad!G$13</f>
        <v>2734353110.09028</v>
      </c>
      <c r="BD9" s="57" t="n">
        <f aca="false">(Supuestos!$C$191)*(1+Supuestos!$C$36)^7*Estacionalidad!H$13</f>
        <v>2734353110.09028</v>
      </c>
      <c r="BE9" s="57" t="n">
        <f aca="false">(Supuestos!$C$191)*(1+Supuestos!$C$36)^7*Estacionalidad!I$13</f>
        <v>2734353110.09028</v>
      </c>
      <c r="BF9" s="57" t="n">
        <f aca="false">(Supuestos!$C$191)*(1+Supuestos!$C$36)^7*Estacionalidad!J$13</f>
        <v>2734353110.09028</v>
      </c>
      <c r="BG9" s="57" t="n">
        <f aca="false">(Supuestos!$C$191)*(1+Supuestos!$C$36)^7*Estacionalidad!K$13</f>
        <v>2734353110.09028</v>
      </c>
      <c r="BH9" s="57" t="n">
        <f aca="false">(Supuestos!$C$191)*(1+Supuestos!$C$36)^7*Estacionalidad!L$13</f>
        <v>2734353110.09028</v>
      </c>
      <c r="BI9" s="57" t="n">
        <f aca="false">(Supuestos!$C$191)*(1+Supuestos!$C$36)^7*Estacionalidad!M$13</f>
        <v>2734353110.09028</v>
      </c>
      <c r="BJ9" s="57" t="n">
        <f aca="false">(Supuestos!$C$191)*(1+Supuestos!$C$36)^7*Estacionalidad!N$13</f>
        <v>2636697641.87277</v>
      </c>
      <c r="BK9" s="57" t="n">
        <f aca="false">(Supuestos!$C$191)*(1+Supuestos!$C$36)^8*Estacionalidad!C$13</f>
        <v>2636697641.87277</v>
      </c>
      <c r="BL9" s="57" t="n">
        <f aca="false">(Supuestos!$C$191)*(1+Supuestos!$C$36)^8*Estacionalidad!D$13</f>
        <v>2669249464.61194</v>
      </c>
      <c r="BM9" s="57" t="n">
        <f aca="false">(Supuestos!$C$191)*(1+Supuestos!$C$36)^8*Estacionalidad!E$13</f>
        <v>2734353110.09028</v>
      </c>
      <c r="BN9" s="57" t="n">
        <f aca="false">(Supuestos!$C$191)*(1+Supuestos!$C$36)^8*Estacionalidad!F$13</f>
        <v>2734353110.09028</v>
      </c>
      <c r="BO9" s="57" t="n">
        <f aca="false">(Supuestos!$C$191)*(1+Supuestos!$C$36)^8*Estacionalidad!G$13</f>
        <v>2734353110.09028</v>
      </c>
      <c r="BP9" s="57" t="n">
        <f aca="false">(Supuestos!$C$191)*(1+Supuestos!$C$36)^8*Estacionalidad!H$13</f>
        <v>2734353110.09028</v>
      </c>
      <c r="BQ9" s="57" t="n">
        <f aca="false">(Supuestos!$C$191)*(1+Supuestos!$C$36)^8*Estacionalidad!I$13</f>
        <v>2734353110.09028</v>
      </c>
      <c r="BR9" s="57" t="n">
        <f aca="false">(Supuestos!$C$191)*(1+Supuestos!$C$36)^8*Estacionalidad!J$13</f>
        <v>2734353110.09028</v>
      </c>
      <c r="BS9" s="57" t="n">
        <f aca="false">(Supuestos!$C$191)*(1+Supuestos!$C$36)^8*Estacionalidad!K$13</f>
        <v>2734353110.09028</v>
      </c>
      <c r="BT9" s="57" t="n">
        <f aca="false">(Supuestos!$C$191)*(1+Supuestos!$C$36)^8*Estacionalidad!L$13</f>
        <v>2734353110.09028</v>
      </c>
      <c r="BU9" s="57" t="n">
        <f aca="false">(Supuestos!$C$191)*(1+Supuestos!$C$36)^8*Estacionalidad!M$13</f>
        <v>2734353110.09028</v>
      </c>
      <c r="BV9" s="57" t="n">
        <f aca="false">(Supuestos!$C$191)*(1+Supuestos!$C$36)^8*Estacionalidad!N$13</f>
        <v>2636697641.87277</v>
      </c>
      <c r="BW9" s="57" t="n">
        <f aca="false">(Supuestos!$C$191)*(1+Supuestos!$C$36)^9*Estacionalidad!C$13</f>
        <v>2636697641.87277</v>
      </c>
      <c r="BX9" s="57" t="n">
        <f aca="false">(Supuestos!$C$191)*(1+Supuestos!$C$36)^9*Estacionalidad!D$13</f>
        <v>2669249464.61194</v>
      </c>
      <c r="BY9" s="57" t="n">
        <f aca="false">(Supuestos!$C$191)*(1+Supuestos!$C$36)^9*Estacionalidad!E$13</f>
        <v>2734353110.09028</v>
      </c>
      <c r="BZ9" s="57" t="n">
        <f aca="false">(Supuestos!$C$191)*(1+Supuestos!$C$36)^9*Estacionalidad!F$13</f>
        <v>2734353110.09028</v>
      </c>
      <c r="CA9" s="57" t="n">
        <f aca="false">(Supuestos!$C$191)*(1+Supuestos!$C$36)^9*Estacionalidad!G$13</f>
        <v>2734353110.09028</v>
      </c>
      <c r="CB9" s="57" t="n">
        <f aca="false">(Supuestos!$C$191)*(1+Supuestos!$C$36)^9*Estacionalidad!H$13</f>
        <v>2734353110.09028</v>
      </c>
      <c r="CC9" s="57" t="n">
        <f aca="false">(Supuestos!$C$191)*(1+Supuestos!$C$36)^9*Estacionalidad!I$13</f>
        <v>2734353110.09028</v>
      </c>
      <c r="CD9" s="57" t="n">
        <f aca="false">(Supuestos!$C$191)*(1+Supuestos!$C$36)^9*Estacionalidad!J$13</f>
        <v>2734353110.09028</v>
      </c>
      <c r="CE9" s="57" t="n">
        <f aca="false">(Supuestos!$C$191)*(1+Supuestos!$C$36)^9*Estacionalidad!K$13</f>
        <v>2734353110.09028</v>
      </c>
      <c r="CF9" s="57" t="n">
        <f aca="false">(Supuestos!$C$191)*(1+Supuestos!$C$36)^9*Estacionalidad!L$13</f>
        <v>2734353110.09028</v>
      </c>
      <c r="CG9" s="57" t="n">
        <f aca="false">(Supuestos!$C$191)*(1+Supuestos!$C$36)^9*Estacionalidad!M$13</f>
        <v>2734353110.09028</v>
      </c>
      <c r="CH9" s="57" t="n">
        <f aca="false">(Supuestos!$C$191)*(1+Supuestos!$C$36)^9*Estacionalidad!N$13</f>
        <v>2636697641.87277</v>
      </c>
      <c r="CI9" s="57" t="n">
        <f aca="false">(Supuestos!$C$191)*(1+Supuestos!$C$36)^10*Estacionalidad!C$13</f>
        <v>2636697641.87277</v>
      </c>
      <c r="CJ9" s="57" t="n">
        <f aca="false">(Supuestos!$C$191)*(1+Supuestos!$C$36)^10*Estacionalidad!D$13</f>
        <v>2669249464.61194</v>
      </c>
      <c r="CK9" s="57" t="n">
        <f aca="false">(Supuestos!$C$191)*(1+Supuestos!$C$36)^10*Estacionalidad!E$13</f>
        <v>2734353110.09028</v>
      </c>
      <c r="CL9" s="57" t="n">
        <f aca="false">(Supuestos!$C$191)*(1+Supuestos!$C$36)^10*Estacionalidad!F$13</f>
        <v>2734353110.09028</v>
      </c>
      <c r="CM9" s="57" t="n">
        <f aca="false">(Supuestos!$C$191)*(1+Supuestos!$C$36)^10*Estacionalidad!G$13</f>
        <v>2734353110.09028</v>
      </c>
      <c r="CN9" s="57" t="n">
        <f aca="false">(Supuestos!$C$191)*(1+Supuestos!$C$36)^10*Estacionalidad!H$13</f>
        <v>2734353110.09028</v>
      </c>
      <c r="CO9" s="57" t="n">
        <f aca="false">(Supuestos!$C$191)*(1+Supuestos!$C$36)^10*Estacionalidad!I$13</f>
        <v>2734353110.09028</v>
      </c>
      <c r="CP9" s="57" t="n">
        <f aca="false">(Supuestos!$C$191)*(1+Supuestos!$C$36)^10*Estacionalidad!J$13</f>
        <v>2734353110.09028</v>
      </c>
      <c r="CQ9" s="57" t="n">
        <f aca="false">(Supuestos!$C$191)*(1+Supuestos!$C$36)^10*Estacionalidad!K$13</f>
        <v>2734353110.09028</v>
      </c>
      <c r="CR9" s="57" t="n">
        <f aca="false">(Supuestos!$C$191)*(1+Supuestos!$C$36)^10*Estacionalidad!L$13</f>
        <v>2734353110.09028</v>
      </c>
      <c r="CS9" s="57" t="n">
        <f aca="false">(Supuestos!$C$191)*(1+Supuestos!$C$36)^10*Estacionalidad!M$13</f>
        <v>2734353110.09028</v>
      </c>
      <c r="CT9" s="57" t="n">
        <f aca="false">(Supuestos!$C$191)*(1+Supuestos!$C$36)^10*Estacionalidad!N$13</f>
        <v>2636697641.87277</v>
      </c>
    </row>
    <row r="10" customFormat="false" ht="15" hidden="false" customHeight="true" outlineLevel="0" collapsed="false">
      <c r="B10" s="19" t="s">
        <v>336</v>
      </c>
      <c r="C10" s="57" t="n">
        <f aca="false">(Supuestos!$C$192)*(1+Supuestos!$C$36)^3*Estacionalidad!C$13</f>
        <v>327243378.82671</v>
      </c>
      <c r="D10" s="57" t="n">
        <f aca="false">(Supuestos!$C$192)*(1+Supuestos!$C$36)^3*Estacionalidad!D$13</f>
        <v>331283420.54062</v>
      </c>
      <c r="E10" s="57" t="n">
        <f aca="false">(Supuestos!$C$192)*(1+Supuestos!$C$36)^3*Estacionalidad!E$13</f>
        <v>339363503.96844</v>
      </c>
      <c r="F10" s="57" t="n">
        <f aca="false">(Supuestos!$C$192)*(1+Supuestos!$C$36)^3*Estacionalidad!F$13</f>
        <v>339363503.96844</v>
      </c>
      <c r="G10" s="57" t="n">
        <f aca="false">(Supuestos!$C$192)*(1+Supuestos!$C$36)^3*Estacionalidad!G$13</f>
        <v>339363503.96844</v>
      </c>
      <c r="H10" s="57" t="n">
        <f aca="false">(Supuestos!$C$192)*(1+Supuestos!$C$36)^3*Estacionalidad!H$13</f>
        <v>339363503.96844</v>
      </c>
      <c r="I10" s="57" t="n">
        <f aca="false">(Supuestos!$C$192)*(1+Supuestos!$C$36)^3*Estacionalidad!I$13</f>
        <v>339363503.96844</v>
      </c>
      <c r="J10" s="57" t="n">
        <f aca="false">(Supuestos!$C$192)*(1+Supuestos!$C$36)^3*Estacionalidad!J$13</f>
        <v>339363503.96844</v>
      </c>
      <c r="K10" s="57" t="n">
        <f aca="false">(Supuestos!$C$192)*(1+Supuestos!$C$36)^3*Estacionalidad!K$13</f>
        <v>339363503.96844</v>
      </c>
      <c r="L10" s="57" t="n">
        <f aca="false">(Supuestos!$C$192)*(1+Supuestos!$C$36)^3*Estacionalidad!L$13</f>
        <v>339363503.96844</v>
      </c>
      <c r="M10" s="57" t="n">
        <f aca="false">(Supuestos!$C$192)*(1+Supuestos!$C$36)^3*Estacionalidad!M$13</f>
        <v>339363503.96844</v>
      </c>
      <c r="N10" s="57" t="n">
        <f aca="false">(Supuestos!$C$192)*(1+Supuestos!$C$36)^3*Estacionalidad!N$13</f>
        <v>327243378.82671</v>
      </c>
      <c r="O10" s="57" t="n">
        <f aca="false">(Supuestos!$C$192)*(1+Supuestos!$C$36)^4*Estacionalidad!C$13</f>
        <v>327243378.82671</v>
      </c>
      <c r="P10" s="57" t="n">
        <f aca="false">(Supuestos!$C$192)*(1+Supuestos!$C$36)^4*Estacionalidad!D$13</f>
        <v>331283420.54062</v>
      </c>
      <c r="Q10" s="57" t="n">
        <f aca="false">(Supuestos!$C$192)*(1+Supuestos!$C$36)^4*Estacionalidad!E$13</f>
        <v>339363503.96844</v>
      </c>
      <c r="R10" s="57" t="n">
        <f aca="false">(Supuestos!$C$192)*(1+Supuestos!$C$36)^4*Estacionalidad!F$13</f>
        <v>339363503.96844</v>
      </c>
      <c r="S10" s="57" t="n">
        <f aca="false">(Supuestos!$C$192)*(1+Supuestos!$C$36)^4*Estacionalidad!G$13</f>
        <v>339363503.96844</v>
      </c>
      <c r="T10" s="57" t="n">
        <f aca="false">(Supuestos!$C$192)*(1+Supuestos!$C$36)^4*Estacionalidad!H$13</f>
        <v>339363503.96844</v>
      </c>
      <c r="U10" s="57" t="n">
        <f aca="false">(Supuestos!$C$192)*(1+Supuestos!$C$36)^4*Estacionalidad!I$13</f>
        <v>339363503.96844</v>
      </c>
      <c r="V10" s="57" t="n">
        <f aca="false">(Supuestos!$C$192)*(1+Supuestos!$C$36)^4*Estacionalidad!J$13</f>
        <v>339363503.96844</v>
      </c>
      <c r="W10" s="57" t="n">
        <f aca="false">(Supuestos!$C$192)*(1+Supuestos!$C$36)^4*Estacionalidad!K$13</f>
        <v>339363503.96844</v>
      </c>
      <c r="X10" s="57" t="n">
        <f aca="false">(Supuestos!$C$192)*(1+Supuestos!$C$36)^4*Estacionalidad!L$13</f>
        <v>339363503.96844</v>
      </c>
      <c r="Y10" s="57" t="n">
        <f aca="false">(Supuestos!$C$192)*(1+Supuestos!$C$36)^4*Estacionalidad!M$13</f>
        <v>339363503.96844</v>
      </c>
      <c r="Z10" s="57" t="n">
        <f aca="false">(Supuestos!$C$192)*(1+Supuestos!$C$36)^4*Estacionalidad!N$13</f>
        <v>327243378.82671</v>
      </c>
      <c r="AA10" s="57" t="n">
        <f aca="false">(Supuestos!$C$192)*(1+Supuestos!$C$36)^5*Estacionalidad!C$13</f>
        <v>327243378.82671</v>
      </c>
      <c r="AB10" s="57" t="n">
        <f aca="false">(Supuestos!$C$192)*(1+Supuestos!$C$36)^5*Estacionalidad!D$13</f>
        <v>331283420.54062</v>
      </c>
      <c r="AC10" s="57" t="n">
        <f aca="false">(Supuestos!$C$192)*(1+Supuestos!$C$36)^5*Estacionalidad!E$13</f>
        <v>339363503.96844</v>
      </c>
      <c r="AD10" s="57" t="n">
        <f aca="false">(Supuestos!$C$192)*(1+Supuestos!$C$36)^5*Estacionalidad!F$13</f>
        <v>339363503.96844</v>
      </c>
      <c r="AE10" s="57" t="n">
        <f aca="false">(Supuestos!$C$192)*(1+Supuestos!$C$36)^5*Estacionalidad!G$13</f>
        <v>339363503.96844</v>
      </c>
      <c r="AF10" s="57" t="n">
        <f aca="false">(Supuestos!$C$192)*(1+Supuestos!$C$36)^5*Estacionalidad!H$13</f>
        <v>339363503.96844</v>
      </c>
      <c r="AG10" s="57" t="n">
        <f aca="false">(Supuestos!$C$192)*(1+Supuestos!$C$36)^5*Estacionalidad!I$13</f>
        <v>339363503.96844</v>
      </c>
      <c r="AH10" s="57" t="n">
        <f aca="false">(Supuestos!$C$192)*(1+Supuestos!$C$36)^5*Estacionalidad!J$13</f>
        <v>339363503.96844</v>
      </c>
      <c r="AI10" s="57" t="n">
        <f aca="false">(Supuestos!$C$192)*(1+Supuestos!$C$36)^5*Estacionalidad!K$13</f>
        <v>339363503.96844</v>
      </c>
      <c r="AJ10" s="57" t="n">
        <f aca="false">(Supuestos!$C$192)*(1+Supuestos!$C$36)^5*Estacionalidad!L$13</f>
        <v>339363503.96844</v>
      </c>
      <c r="AK10" s="57" t="n">
        <f aca="false">(Supuestos!$C$192)*(1+Supuestos!$C$36)^5*Estacionalidad!M$13</f>
        <v>339363503.96844</v>
      </c>
      <c r="AL10" s="57" t="n">
        <f aca="false">(Supuestos!$C$192)*(1+Supuestos!$C$36)^5*Estacionalidad!N$13</f>
        <v>327243378.82671</v>
      </c>
      <c r="AM10" s="57" t="n">
        <f aca="false">(Supuestos!$C$192)*(1+Supuestos!$C$36)^6*Estacionalidad!C$13</f>
        <v>327243378.82671</v>
      </c>
      <c r="AN10" s="57" t="n">
        <f aca="false">(Supuestos!$C$192)*(1+Supuestos!$C$36)^6*Estacionalidad!D$13</f>
        <v>331283420.54062</v>
      </c>
      <c r="AO10" s="57" t="n">
        <f aca="false">(Supuestos!$C$192)*(1+Supuestos!$C$36)^6*Estacionalidad!E$13</f>
        <v>339363503.96844</v>
      </c>
      <c r="AP10" s="57" t="n">
        <f aca="false">(Supuestos!$C$192)*(1+Supuestos!$C$36)^6*Estacionalidad!F$13</f>
        <v>339363503.96844</v>
      </c>
      <c r="AQ10" s="57" t="n">
        <f aca="false">(Supuestos!$C$192)*(1+Supuestos!$C$36)^6*Estacionalidad!G$13</f>
        <v>339363503.96844</v>
      </c>
      <c r="AR10" s="57" t="n">
        <f aca="false">(Supuestos!$C$192)*(1+Supuestos!$C$36)^6*Estacionalidad!H$13</f>
        <v>339363503.96844</v>
      </c>
      <c r="AS10" s="57" t="n">
        <f aca="false">(Supuestos!$C$192)*(1+Supuestos!$C$36)^6*Estacionalidad!I$13</f>
        <v>339363503.96844</v>
      </c>
      <c r="AT10" s="57" t="n">
        <f aca="false">(Supuestos!$C$192)*(1+Supuestos!$C$36)^6*Estacionalidad!J$13</f>
        <v>339363503.96844</v>
      </c>
      <c r="AU10" s="57" t="n">
        <f aca="false">(Supuestos!$C$192)*(1+Supuestos!$C$36)^6*Estacionalidad!K$13</f>
        <v>339363503.96844</v>
      </c>
      <c r="AV10" s="57" t="n">
        <f aca="false">(Supuestos!$C$192)*(1+Supuestos!$C$36)^6*Estacionalidad!L$13</f>
        <v>339363503.96844</v>
      </c>
      <c r="AW10" s="57" t="n">
        <f aca="false">(Supuestos!$C$192)*(1+Supuestos!$C$36)^6*Estacionalidad!M$13</f>
        <v>339363503.96844</v>
      </c>
      <c r="AX10" s="57" t="n">
        <f aca="false">(Supuestos!$C$192)*(1+Supuestos!$C$36)^6*Estacionalidad!N$13</f>
        <v>327243378.82671</v>
      </c>
      <c r="AY10" s="57" t="n">
        <f aca="false">(Supuestos!$C$192)*(1+Supuestos!$C$36)^7*Estacionalidad!C$13</f>
        <v>327243378.82671</v>
      </c>
      <c r="AZ10" s="57" t="n">
        <f aca="false">(Supuestos!$C$192)*(1+Supuestos!$C$36)^7*Estacionalidad!D$13</f>
        <v>331283420.54062</v>
      </c>
      <c r="BA10" s="57" t="n">
        <f aca="false">(Supuestos!$C$192)*(1+Supuestos!$C$36)^7*Estacionalidad!E$13</f>
        <v>339363503.96844</v>
      </c>
      <c r="BB10" s="57" t="n">
        <f aca="false">(Supuestos!$C$192)*(1+Supuestos!$C$36)^7*Estacionalidad!F$13</f>
        <v>339363503.96844</v>
      </c>
      <c r="BC10" s="57" t="n">
        <f aca="false">(Supuestos!$C$192)*(1+Supuestos!$C$36)^7*Estacionalidad!G$13</f>
        <v>339363503.96844</v>
      </c>
      <c r="BD10" s="57" t="n">
        <f aca="false">(Supuestos!$C$192)*(1+Supuestos!$C$36)^7*Estacionalidad!H$13</f>
        <v>339363503.96844</v>
      </c>
      <c r="BE10" s="57" t="n">
        <f aca="false">(Supuestos!$C$192)*(1+Supuestos!$C$36)^7*Estacionalidad!I$13</f>
        <v>339363503.96844</v>
      </c>
      <c r="BF10" s="57" t="n">
        <f aca="false">(Supuestos!$C$192)*(1+Supuestos!$C$36)^7*Estacionalidad!J$13</f>
        <v>339363503.96844</v>
      </c>
      <c r="BG10" s="57" t="n">
        <f aca="false">(Supuestos!$C$192)*(1+Supuestos!$C$36)^7*Estacionalidad!K$13</f>
        <v>339363503.96844</v>
      </c>
      <c r="BH10" s="57" t="n">
        <f aca="false">(Supuestos!$C$192)*(1+Supuestos!$C$36)^7*Estacionalidad!L$13</f>
        <v>339363503.96844</v>
      </c>
      <c r="BI10" s="57" t="n">
        <f aca="false">(Supuestos!$C$192)*(1+Supuestos!$C$36)^7*Estacionalidad!M$13</f>
        <v>339363503.96844</v>
      </c>
      <c r="BJ10" s="57" t="n">
        <f aca="false">(Supuestos!$C$192)*(1+Supuestos!$C$36)^7*Estacionalidad!N$13</f>
        <v>327243378.82671</v>
      </c>
      <c r="BK10" s="57" t="n">
        <f aca="false">(Supuestos!$C$192)*(1+Supuestos!$C$36)^8*Estacionalidad!C$13</f>
        <v>327243378.82671</v>
      </c>
      <c r="BL10" s="57" t="n">
        <f aca="false">(Supuestos!$C$192)*(1+Supuestos!$C$36)^8*Estacionalidad!D$13</f>
        <v>331283420.54062</v>
      </c>
      <c r="BM10" s="57" t="n">
        <f aca="false">(Supuestos!$C$192)*(1+Supuestos!$C$36)^8*Estacionalidad!E$13</f>
        <v>339363503.96844</v>
      </c>
      <c r="BN10" s="57" t="n">
        <f aca="false">(Supuestos!$C$192)*(1+Supuestos!$C$36)^8*Estacionalidad!F$13</f>
        <v>339363503.96844</v>
      </c>
      <c r="BO10" s="57" t="n">
        <f aca="false">(Supuestos!$C$192)*(1+Supuestos!$C$36)^8*Estacionalidad!G$13</f>
        <v>339363503.96844</v>
      </c>
      <c r="BP10" s="57" t="n">
        <f aca="false">(Supuestos!$C$192)*(1+Supuestos!$C$36)^8*Estacionalidad!H$13</f>
        <v>339363503.96844</v>
      </c>
      <c r="BQ10" s="57" t="n">
        <f aca="false">(Supuestos!$C$192)*(1+Supuestos!$C$36)^8*Estacionalidad!I$13</f>
        <v>339363503.96844</v>
      </c>
      <c r="BR10" s="57" t="n">
        <f aca="false">(Supuestos!$C$192)*(1+Supuestos!$C$36)^8*Estacionalidad!J$13</f>
        <v>339363503.96844</v>
      </c>
      <c r="BS10" s="57" t="n">
        <f aca="false">(Supuestos!$C$192)*(1+Supuestos!$C$36)^8*Estacionalidad!K$13</f>
        <v>339363503.96844</v>
      </c>
      <c r="BT10" s="57" t="n">
        <f aca="false">(Supuestos!$C$192)*(1+Supuestos!$C$36)^8*Estacionalidad!L$13</f>
        <v>339363503.96844</v>
      </c>
      <c r="BU10" s="57" t="n">
        <f aca="false">(Supuestos!$C$192)*(1+Supuestos!$C$36)^8*Estacionalidad!M$13</f>
        <v>339363503.96844</v>
      </c>
      <c r="BV10" s="57" t="n">
        <f aca="false">(Supuestos!$C$192)*(1+Supuestos!$C$36)^8*Estacionalidad!N$13</f>
        <v>327243378.82671</v>
      </c>
      <c r="BW10" s="57" t="n">
        <f aca="false">(Supuestos!$C$192)*(1+Supuestos!$C$36)^9*Estacionalidad!C$13</f>
        <v>327243378.82671</v>
      </c>
      <c r="BX10" s="57" t="n">
        <f aca="false">(Supuestos!$C$192)*(1+Supuestos!$C$36)^9*Estacionalidad!D$13</f>
        <v>331283420.54062</v>
      </c>
      <c r="BY10" s="57" t="n">
        <f aca="false">(Supuestos!$C$192)*(1+Supuestos!$C$36)^9*Estacionalidad!E$13</f>
        <v>339363503.96844</v>
      </c>
      <c r="BZ10" s="57" t="n">
        <f aca="false">(Supuestos!$C$192)*(1+Supuestos!$C$36)^9*Estacionalidad!F$13</f>
        <v>339363503.96844</v>
      </c>
      <c r="CA10" s="57" t="n">
        <f aca="false">(Supuestos!$C$192)*(1+Supuestos!$C$36)^9*Estacionalidad!G$13</f>
        <v>339363503.96844</v>
      </c>
      <c r="CB10" s="57" t="n">
        <f aca="false">(Supuestos!$C$192)*(1+Supuestos!$C$36)^9*Estacionalidad!H$13</f>
        <v>339363503.96844</v>
      </c>
      <c r="CC10" s="57" t="n">
        <f aca="false">(Supuestos!$C$192)*(1+Supuestos!$C$36)^9*Estacionalidad!I$13</f>
        <v>339363503.96844</v>
      </c>
      <c r="CD10" s="57" t="n">
        <f aca="false">(Supuestos!$C$192)*(1+Supuestos!$C$36)^9*Estacionalidad!J$13</f>
        <v>339363503.96844</v>
      </c>
      <c r="CE10" s="57" t="n">
        <f aca="false">(Supuestos!$C$192)*(1+Supuestos!$C$36)^9*Estacionalidad!K$13</f>
        <v>339363503.96844</v>
      </c>
      <c r="CF10" s="57" t="n">
        <f aca="false">(Supuestos!$C$192)*(1+Supuestos!$C$36)^9*Estacionalidad!L$13</f>
        <v>339363503.96844</v>
      </c>
      <c r="CG10" s="57" t="n">
        <f aca="false">(Supuestos!$C$192)*(1+Supuestos!$C$36)^9*Estacionalidad!M$13</f>
        <v>339363503.96844</v>
      </c>
      <c r="CH10" s="57" t="n">
        <f aca="false">(Supuestos!$C$192)*(1+Supuestos!$C$36)^9*Estacionalidad!N$13</f>
        <v>327243378.82671</v>
      </c>
      <c r="CI10" s="57" t="n">
        <f aca="false">(Supuestos!$C$192)*(1+Supuestos!$C$36)^10*Estacionalidad!C$13</f>
        <v>327243378.82671</v>
      </c>
      <c r="CJ10" s="57" t="n">
        <f aca="false">(Supuestos!$C$192)*(1+Supuestos!$C$36)^10*Estacionalidad!D$13</f>
        <v>331283420.54062</v>
      </c>
      <c r="CK10" s="57" t="n">
        <f aca="false">(Supuestos!$C$192)*(1+Supuestos!$C$36)^10*Estacionalidad!E$13</f>
        <v>339363503.96844</v>
      </c>
      <c r="CL10" s="57" t="n">
        <f aca="false">(Supuestos!$C$192)*(1+Supuestos!$C$36)^10*Estacionalidad!F$13</f>
        <v>339363503.96844</v>
      </c>
      <c r="CM10" s="57" t="n">
        <f aca="false">(Supuestos!$C$192)*(1+Supuestos!$C$36)^10*Estacionalidad!G$13</f>
        <v>339363503.96844</v>
      </c>
      <c r="CN10" s="57" t="n">
        <f aca="false">(Supuestos!$C$192)*(1+Supuestos!$C$36)^10*Estacionalidad!H$13</f>
        <v>339363503.96844</v>
      </c>
      <c r="CO10" s="57" t="n">
        <f aca="false">(Supuestos!$C$192)*(1+Supuestos!$C$36)^10*Estacionalidad!I$13</f>
        <v>339363503.96844</v>
      </c>
      <c r="CP10" s="57" t="n">
        <f aca="false">(Supuestos!$C$192)*(1+Supuestos!$C$36)^10*Estacionalidad!J$13</f>
        <v>339363503.96844</v>
      </c>
      <c r="CQ10" s="57" t="n">
        <f aca="false">(Supuestos!$C$192)*(1+Supuestos!$C$36)^10*Estacionalidad!K$13</f>
        <v>339363503.96844</v>
      </c>
      <c r="CR10" s="57" t="n">
        <f aca="false">(Supuestos!$C$192)*(1+Supuestos!$C$36)^10*Estacionalidad!L$13</f>
        <v>339363503.96844</v>
      </c>
      <c r="CS10" s="57" t="n">
        <f aca="false">(Supuestos!$C$192)*(1+Supuestos!$C$36)^10*Estacionalidad!M$13</f>
        <v>339363503.96844</v>
      </c>
      <c r="CT10" s="57" t="n">
        <f aca="false">(Supuestos!$C$192)*(1+Supuestos!$C$36)^10*Estacionalidad!N$13</f>
        <v>327243378.82671</v>
      </c>
    </row>
    <row r="11" customFormat="false" ht="15" hidden="false" customHeight="true" outlineLevel="0" collapsed="false">
      <c r="B11" s="19" t="s">
        <v>337</v>
      </c>
      <c r="C11" s="57" t="n">
        <f aca="false">(Supuestos!$C$193)*(1+Supuestos!$C$36)^3*Estacionalidad!C$13</f>
        <v>181526189.8887</v>
      </c>
      <c r="D11" s="57" t="n">
        <f aca="false">(Supuestos!$C$193)*(1+Supuestos!$C$36)^3*Estacionalidad!D$13</f>
        <v>183767253.9614</v>
      </c>
      <c r="E11" s="57" t="n">
        <f aca="false">(Supuestos!$C$193)*(1+Supuestos!$C$36)^3*Estacionalidad!E$13</f>
        <v>188249382.1068</v>
      </c>
      <c r="F11" s="57" t="n">
        <f aca="false">(Supuestos!$C$193)*(1+Supuestos!$C$36)^3*Estacionalidad!F$13</f>
        <v>188249382.1068</v>
      </c>
      <c r="G11" s="57" t="n">
        <f aca="false">(Supuestos!$C$193)*(1+Supuestos!$C$36)^3*Estacionalidad!G$13</f>
        <v>188249382.1068</v>
      </c>
      <c r="H11" s="57" t="n">
        <f aca="false">(Supuestos!$C$193)*(1+Supuestos!$C$36)^3*Estacionalidad!H$13</f>
        <v>188249382.1068</v>
      </c>
      <c r="I11" s="57" t="n">
        <f aca="false">(Supuestos!$C$193)*(1+Supuestos!$C$36)^3*Estacionalidad!I$13</f>
        <v>188249382.1068</v>
      </c>
      <c r="J11" s="57" t="n">
        <f aca="false">(Supuestos!$C$193)*(1+Supuestos!$C$36)^3*Estacionalidad!J$13</f>
        <v>188249382.1068</v>
      </c>
      <c r="K11" s="57" t="n">
        <f aca="false">(Supuestos!$C$193)*(1+Supuestos!$C$36)^3*Estacionalidad!K$13</f>
        <v>188249382.1068</v>
      </c>
      <c r="L11" s="57" t="n">
        <f aca="false">(Supuestos!$C$193)*(1+Supuestos!$C$36)^3*Estacionalidad!L$13</f>
        <v>188249382.1068</v>
      </c>
      <c r="M11" s="57" t="n">
        <f aca="false">(Supuestos!$C$193)*(1+Supuestos!$C$36)^3*Estacionalidad!M$13</f>
        <v>188249382.1068</v>
      </c>
      <c r="N11" s="57" t="n">
        <f aca="false">(Supuestos!$C$193)*(1+Supuestos!$C$36)^3*Estacionalidad!N$13</f>
        <v>181526189.8887</v>
      </c>
      <c r="O11" s="57" t="n">
        <f aca="false">(Supuestos!$C$193)*(1+Supuestos!$C$36)^4*Estacionalidad!C$13</f>
        <v>181526189.8887</v>
      </c>
      <c r="P11" s="57" t="n">
        <f aca="false">(Supuestos!$C$193)*(1+Supuestos!$C$36)^4*Estacionalidad!D$13</f>
        <v>183767253.9614</v>
      </c>
      <c r="Q11" s="57" t="n">
        <f aca="false">(Supuestos!$C$193)*(1+Supuestos!$C$36)^4*Estacionalidad!E$13</f>
        <v>188249382.1068</v>
      </c>
      <c r="R11" s="57" t="n">
        <f aca="false">(Supuestos!$C$193)*(1+Supuestos!$C$36)^4*Estacionalidad!F$13</f>
        <v>188249382.1068</v>
      </c>
      <c r="S11" s="57" t="n">
        <f aca="false">(Supuestos!$C$193)*(1+Supuestos!$C$36)^4*Estacionalidad!G$13</f>
        <v>188249382.1068</v>
      </c>
      <c r="T11" s="57" t="n">
        <f aca="false">(Supuestos!$C$193)*(1+Supuestos!$C$36)^4*Estacionalidad!H$13</f>
        <v>188249382.1068</v>
      </c>
      <c r="U11" s="57" t="n">
        <f aca="false">(Supuestos!$C$193)*(1+Supuestos!$C$36)^4*Estacionalidad!I$13</f>
        <v>188249382.1068</v>
      </c>
      <c r="V11" s="57" t="n">
        <f aca="false">(Supuestos!$C$193)*(1+Supuestos!$C$36)^4*Estacionalidad!J$13</f>
        <v>188249382.1068</v>
      </c>
      <c r="W11" s="57" t="n">
        <f aca="false">(Supuestos!$C$193)*(1+Supuestos!$C$36)^4*Estacionalidad!K$13</f>
        <v>188249382.1068</v>
      </c>
      <c r="X11" s="57" t="n">
        <f aca="false">(Supuestos!$C$193)*(1+Supuestos!$C$36)^4*Estacionalidad!L$13</f>
        <v>188249382.1068</v>
      </c>
      <c r="Y11" s="57" t="n">
        <f aca="false">(Supuestos!$C$193)*(1+Supuestos!$C$36)^4*Estacionalidad!M$13</f>
        <v>188249382.1068</v>
      </c>
      <c r="Z11" s="57" t="n">
        <f aca="false">(Supuestos!$C$193)*(1+Supuestos!$C$36)^4*Estacionalidad!N$13</f>
        <v>181526189.8887</v>
      </c>
      <c r="AA11" s="57" t="n">
        <f aca="false">(Supuestos!$C$193)*(1+Supuestos!$C$36)^5*Estacionalidad!C$13</f>
        <v>181526189.8887</v>
      </c>
      <c r="AB11" s="57" t="n">
        <f aca="false">(Supuestos!$C$193)*(1+Supuestos!$C$36)^5*Estacionalidad!D$13</f>
        <v>183767253.9614</v>
      </c>
      <c r="AC11" s="57" t="n">
        <f aca="false">(Supuestos!$C$193)*(1+Supuestos!$C$36)^5*Estacionalidad!E$13</f>
        <v>188249382.1068</v>
      </c>
      <c r="AD11" s="57" t="n">
        <f aca="false">(Supuestos!$C$193)*(1+Supuestos!$C$36)^5*Estacionalidad!F$13</f>
        <v>188249382.1068</v>
      </c>
      <c r="AE11" s="57" t="n">
        <f aca="false">(Supuestos!$C$193)*(1+Supuestos!$C$36)^5*Estacionalidad!G$13</f>
        <v>188249382.1068</v>
      </c>
      <c r="AF11" s="57" t="n">
        <f aca="false">(Supuestos!$C$193)*(1+Supuestos!$C$36)^5*Estacionalidad!H$13</f>
        <v>188249382.1068</v>
      </c>
      <c r="AG11" s="57" t="n">
        <f aca="false">(Supuestos!$C$193)*(1+Supuestos!$C$36)^5*Estacionalidad!I$13</f>
        <v>188249382.1068</v>
      </c>
      <c r="AH11" s="57" t="n">
        <f aca="false">(Supuestos!$C$193)*(1+Supuestos!$C$36)^5*Estacionalidad!J$13</f>
        <v>188249382.1068</v>
      </c>
      <c r="AI11" s="57" t="n">
        <f aca="false">(Supuestos!$C$193)*(1+Supuestos!$C$36)^5*Estacionalidad!K$13</f>
        <v>188249382.1068</v>
      </c>
      <c r="AJ11" s="57" t="n">
        <f aca="false">(Supuestos!$C$193)*(1+Supuestos!$C$36)^5*Estacionalidad!L$13</f>
        <v>188249382.1068</v>
      </c>
      <c r="AK11" s="57" t="n">
        <f aca="false">(Supuestos!$C$193)*(1+Supuestos!$C$36)^5*Estacionalidad!M$13</f>
        <v>188249382.1068</v>
      </c>
      <c r="AL11" s="57" t="n">
        <f aca="false">(Supuestos!$C$193)*(1+Supuestos!$C$36)^5*Estacionalidad!N$13</f>
        <v>181526189.8887</v>
      </c>
      <c r="AM11" s="57" t="n">
        <f aca="false">(Supuestos!$C$193)*(1+Supuestos!$C$36)^6*Estacionalidad!C$13</f>
        <v>181526189.8887</v>
      </c>
      <c r="AN11" s="57" t="n">
        <f aca="false">(Supuestos!$C$193)*(1+Supuestos!$C$36)^6*Estacionalidad!D$13</f>
        <v>183767253.9614</v>
      </c>
      <c r="AO11" s="57" t="n">
        <f aca="false">(Supuestos!$C$193)*(1+Supuestos!$C$36)^6*Estacionalidad!E$13</f>
        <v>188249382.1068</v>
      </c>
      <c r="AP11" s="57" t="n">
        <f aca="false">(Supuestos!$C$193)*(1+Supuestos!$C$36)^6*Estacionalidad!F$13</f>
        <v>188249382.1068</v>
      </c>
      <c r="AQ11" s="57" t="n">
        <f aca="false">(Supuestos!$C$193)*(1+Supuestos!$C$36)^6*Estacionalidad!G$13</f>
        <v>188249382.1068</v>
      </c>
      <c r="AR11" s="57" t="n">
        <f aca="false">(Supuestos!$C$193)*(1+Supuestos!$C$36)^6*Estacionalidad!H$13</f>
        <v>188249382.1068</v>
      </c>
      <c r="AS11" s="57" t="n">
        <f aca="false">(Supuestos!$C$193)*(1+Supuestos!$C$36)^6*Estacionalidad!I$13</f>
        <v>188249382.1068</v>
      </c>
      <c r="AT11" s="57" t="n">
        <f aca="false">(Supuestos!$C$193)*(1+Supuestos!$C$36)^6*Estacionalidad!J$13</f>
        <v>188249382.1068</v>
      </c>
      <c r="AU11" s="57" t="n">
        <f aca="false">(Supuestos!$C$193)*(1+Supuestos!$C$36)^6*Estacionalidad!K$13</f>
        <v>188249382.1068</v>
      </c>
      <c r="AV11" s="57" t="n">
        <f aca="false">(Supuestos!$C$193)*(1+Supuestos!$C$36)^6*Estacionalidad!L$13</f>
        <v>188249382.1068</v>
      </c>
      <c r="AW11" s="57" t="n">
        <f aca="false">(Supuestos!$C$193)*(1+Supuestos!$C$36)^6*Estacionalidad!M$13</f>
        <v>188249382.1068</v>
      </c>
      <c r="AX11" s="57" t="n">
        <f aca="false">(Supuestos!$C$193)*(1+Supuestos!$C$36)^6*Estacionalidad!N$13</f>
        <v>181526189.8887</v>
      </c>
      <c r="AY11" s="57" t="n">
        <f aca="false">(Supuestos!$C$193)*(1+Supuestos!$C$36)^7*Estacionalidad!C$13</f>
        <v>181526189.8887</v>
      </c>
      <c r="AZ11" s="57" t="n">
        <f aca="false">(Supuestos!$C$193)*(1+Supuestos!$C$36)^7*Estacionalidad!D$13</f>
        <v>183767253.9614</v>
      </c>
      <c r="BA11" s="57" t="n">
        <f aca="false">(Supuestos!$C$193)*(1+Supuestos!$C$36)^7*Estacionalidad!E$13</f>
        <v>188249382.1068</v>
      </c>
      <c r="BB11" s="57" t="n">
        <f aca="false">(Supuestos!$C$193)*(1+Supuestos!$C$36)^7*Estacionalidad!F$13</f>
        <v>188249382.1068</v>
      </c>
      <c r="BC11" s="57" t="n">
        <f aca="false">(Supuestos!$C$193)*(1+Supuestos!$C$36)^7*Estacionalidad!G$13</f>
        <v>188249382.1068</v>
      </c>
      <c r="BD11" s="57" t="n">
        <f aca="false">(Supuestos!$C$193)*(1+Supuestos!$C$36)^7*Estacionalidad!H$13</f>
        <v>188249382.1068</v>
      </c>
      <c r="BE11" s="57" t="n">
        <f aca="false">(Supuestos!$C$193)*(1+Supuestos!$C$36)^7*Estacionalidad!I$13</f>
        <v>188249382.1068</v>
      </c>
      <c r="BF11" s="57" t="n">
        <f aca="false">(Supuestos!$C$193)*(1+Supuestos!$C$36)^7*Estacionalidad!J$13</f>
        <v>188249382.1068</v>
      </c>
      <c r="BG11" s="57" t="n">
        <f aca="false">(Supuestos!$C$193)*(1+Supuestos!$C$36)^7*Estacionalidad!K$13</f>
        <v>188249382.1068</v>
      </c>
      <c r="BH11" s="57" t="n">
        <f aca="false">(Supuestos!$C$193)*(1+Supuestos!$C$36)^7*Estacionalidad!L$13</f>
        <v>188249382.1068</v>
      </c>
      <c r="BI11" s="57" t="n">
        <f aca="false">(Supuestos!$C$193)*(1+Supuestos!$C$36)^7*Estacionalidad!M$13</f>
        <v>188249382.1068</v>
      </c>
      <c r="BJ11" s="57" t="n">
        <f aca="false">(Supuestos!$C$193)*(1+Supuestos!$C$36)^7*Estacionalidad!N$13</f>
        <v>181526189.8887</v>
      </c>
      <c r="BK11" s="57" t="n">
        <f aca="false">(Supuestos!$C$193)*(1+Supuestos!$C$36)^8*Estacionalidad!C$13</f>
        <v>181526189.8887</v>
      </c>
      <c r="BL11" s="57" t="n">
        <f aca="false">(Supuestos!$C$193)*(1+Supuestos!$C$36)^8*Estacionalidad!D$13</f>
        <v>183767253.9614</v>
      </c>
      <c r="BM11" s="57" t="n">
        <f aca="false">(Supuestos!$C$193)*(1+Supuestos!$C$36)^8*Estacionalidad!E$13</f>
        <v>188249382.1068</v>
      </c>
      <c r="BN11" s="57" t="n">
        <f aca="false">(Supuestos!$C$193)*(1+Supuestos!$C$36)^8*Estacionalidad!F$13</f>
        <v>188249382.1068</v>
      </c>
      <c r="BO11" s="57" t="n">
        <f aca="false">(Supuestos!$C$193)*(1+Supuestos!$C$36)^8*Estacionalidad!G$13</f>
        <v>188249382.1068</v>
      </c>
      <c r="BP11" s="57" t="n">
        <f aca="false">(Supuestos!$C$193)*(1+Supuestos!$C$36)^8*Estacionalidad!H$13</f>
        <v>188249382.1068</v>
      </c>
      <c r="BQ11" s="57" t="n">
        <f aca="false">(Supuestos!$C$193)*(1+Supuestos!$C$36)^8*Estacionalidad!I$13</f>
        <v>188249382.1068</v>
      </c>
      <c r="BR11" s="57" t="n">
        <f aca="false">(Supuestos!$C$193)*(1+Supuestos!$C$36)^8*Estacionalidad!J$13</f>
        <v>188249382.1068</v>
      </c>
      <c r="BS11" s="57" t="n">
        <f aca="false">(Supuestos!$C$193)*(1+Supuestos!$C$36)^8*Estacionalidad!K$13</f>
        <v>188249382.1068</v>
      </c>
      <c r="BT11" s="57" t="n">
        <f aca="false">(Supuestos!$C$193)*(1+Supuestos!$C$36)^8*Estacionalidad!L$13</f>
        <v>188249382.1068</v>
      </c>
      <c r="BU11" s="57" t="n">
        <f aca="false">(Supuestos!$C$193)*(1+Supuestos!$C$36)^8*Estacionalidad!M$13</f>
        <v>188249382.1068</v>
      </c>
      <c r="BV11" s="57" t="n">
        <f aca="false">(Supuestos!$C$193)*(1+Supuestos!$C$36)^8*Estacionalidad!N$13</f>
        <v>181526189.8887</v>
      </c>
      <c r="BW11" s="57" t="n">
        <f aca="false">(Supuestos!$C$193)*(1+Supuestos!$C$36)^9*Estacionalidad!C$13</f>
        <v>181526189.8887</v>
      </c>
      <c r="BX11" s="57" t="n">
        <f aca="false">(Supuestos!$C$193)*(1+Supuestos!$C$36)^9*Estacionalidad!D$13</f>
        <v>183767253.9614</v>
      </c>
      <c r="BY11" s="57" t="n">
        <f aca="false">(Supuestos!$C$193)*(1+Supuestos!$C$36)^9*Estacionalidad!E$13</f>
        <v>188249382.1068</v>
      </c>
      <c r="BZ11" s="57" t="n">
        <f aca="false">(Supuestos!$C$193)*(1+Supuestos!$C$36)^9*Estacionalidad!F$13</f>
        <v>188249382.1068</v>
      </c>
      <c r="CA11" s="57" t="n">
        <f aca="false">(Supuestos!$C$193)*(1+Supuestos!$C$36)^9*Estacionalidad!G$13</f>
        <v>188249382.1068</v>
      </c>
      <c r="CB11" s="57" t="n">
        <f aca="false">(Supuestos!$C$193)*(1+Supuestos!$C$36)^9*Estacionalidad!H$13</f>
        <v>188249382.1068</v>
      </c>
      <c r="CC11" s="57" t="n">
        <f aca="false">(Supuestos!$C$193)*(1+Supuestos!$C$36)^9*Estacionalidad!I$13</f>
        <v>188249382.1068</v>
      </c>
      <c r="CD11" s="57" t="n">
        <f aca="false">(Supuestos!$C$193)*(1+Supuestos!$C$36)^9*Estacionalidad!J$13</f>
        <v>188249382.1068</v>
      </c>
      <c r="CE11" s="57" t="n">
        <f aca="false">(Supuestos!$C$193)*(1+Supuestos!$C$36)^9*Estacionalidad!K$13</f>
        <v>188249382.1068</v>
      </c>
      <c r="CF11" s="57" t="n">
        <f aca="false">(Supuestos!$C$193)*(1+Supuestos!$C$36)^9*Estacionalidad!L$13</f>
        <v>188249382.1068</v>
      </c>
      <c r="CG11" s="57" t="n">
        <f aca="false">(Supuestos!$C$193)*(1+Supuestos!$C$36)^9*Estacionalidad!M$13</f>
        <v>188249382.1068</v>
      </c>
      <c r="CH11" s="57" t="n">
        <f aca="false">(Supuestos!$C$193)*(1+Supuestos!$C$36)^9*Estacionalidad!N$13</f>
        <v>181526189.8887</v>
      </c>
      <c r="CI11" s="57" t="n">
        <f aca="false">(Supuestos!$C$193)*(1+Supuestos!$C$36)^10*Estacionalidad!C$13</f>
        <v>181526189.8887</v>
      </c>
      <c r="CJ11" s="57" t="n">
        <f aca="false">(Supuestos!$C$193)*(1+Supuestos!$C$36)^10*Estacionalidad!D$13</f>
        <v>183767253.9614</v>
      </c>
      <c r="CK11" s="57" t="n">
        <f aca="false">(Supuestos!$C$193)*(1+Supuestos!$C$36)^10*Estacionalidad!E$13</f>
        <v>188249382.1068</v>
      </c>
      <c r="CL11" s="57" t="n">
        <f aca="false">(Supuestos!$C$193)*(1+Supuestos!$C$36)^10*Estacionalidad!F$13</f>
        <v>188249382.1068</v>
      </c>
      <c r="CM11" s="57" t="n">
        <f aca="false">(Supuestos!$C$193)*(1+Supuestos!$C$36)^10*Estacionalidad!G$13</f>
        <v>188249382.1068</v>
      </c>
      <c r="CN11" s="57" t="n">
        <f aca="false">(Supuestos!$C$193)*(1+Supuestos!$C$36)^10*Estacionalidad!H$13</f>
        <v>188249382.1068</v>
      </c>
      <c r="CO11" s="57" t="n">
        <f aca="false">(Supuestos!$C$193)*(1+Supuestos!$C$36)^10*Estacionalidad!I$13</f>
        <v>188249382.1068</v>
      </c>
      <c r="CP11" s="57" t="n">
        <f aca="false">(Supuestos!$C$193)*(1+Supuestos!$C$36)^10*Estacionalidad!J$13</f>
        <v>188249382.1068</v>
      </c>
      <c r="CQ11" s="57" t="n">
        <f aca="false">(Supuestos!$C$193)*(1+Supuestos!$C$36)^10*Estacionalidad!K$13</f>
        <v>188249382.1068</v>
      </c>
      <c r="CR11" s="57" t="n">
        <f aca="false">(Supuestos!$C$193)*(1+Supuestos!$C$36)^10*Estacionalidad!L$13</f>
        <v>188249382.1068</v>
      </c>
      <c r="CS11" s="57" t="n">
        <f aca="false">(Supuestos!$C$193)*(1+Supuestos!$C$36)^10*Estacionalidad!M$13</f>
        <v>188249382.1068</v>
      </c>
      <c r="CT11" s="57" t="n">
        <f aca="false">(Supuestos!$C$193)*(1+Supuestos!$C$36)^10*Estacionalidad!N$13</f>
        <v>181526189.8887</v>
      </c>
    </row>
    <row r="12" customFormat="false" ht="15" hidden="false" customHeight="true" outlineLevel="0" collapsed="false">
      <c r="B12" s="19" t="s">
        <v>645</v>
      </c>
      <c r="C12" s="57" t="n">
        <f aca="false">(Supuestos!$C$190+Supuestos!$C$194)*(1+Supuestos!$C$36)^3*Estacionalidad!C$13</f>
        <v>80517054.22002</v>
      </c>
      <c r="D12" s="57" t="n">
        <f aca="false">(Supuestos!$C$190+Supuestos!$C$194)*(1+Supuestos!$C$36)^3*Estacionalidad!D$13</f>
        <v>81511091.92644</v>
      </c>
      <c r="E12" s="57" t="n">
        <f aca="false">(Supuestos!$C$190+Supuestos!$C$194)*(1+Supuestos!$C$36)^3*Estacionalidad!E$13</f>
        <v>83499167.33928</v>
      </c>
      <c r="F12" s="57" t="n">
        <f aca="false">(Supuestos!$C$190+Supuestos!$C$194)*(1+Supuestos!$C$36)^3*Estacionalidad!F$13</f>
        <v>83499167.33928</v>
      </c>
      <c r="G12" s="57" t="n">
        <f aca="false">(Supuestos!$C$190+Supuestos!$C$194)*(1+Supuestos!$C$36)^3*Estacionalidad!G$13</f>
        <v>83499167.33928</v>
      </c>
      <c r="H12" s="57" t="n">
        <f aca="false">(Supuestos!$C$190+Supuestos!$C$194)*(1+Supuestos!$C$36)^3*Estacionalidad!H$13</f>
        <v>83499167.33928</v>
      </c>
      <c r="I12" s="57" t="n">
        <f aca="false">(Supuestos!$C$190+Supuestos!$C$194)*(1+Supuestos!$C$36)^3*Estacionalidad!I$13</f>
        <v>83499167.33928</v>
      </c>
      <c r="J12" s="57" t="n">
        <f aca="false">(Supuestos!$C$190+Supuestos!$C$194)*(1+Supuestos!$C$36)^3*Estacionalidad!J$13</f>
        <v>83499167.33928</v>
      </c>
      <c r="K12" s="57" t="n">
        <f aca="false">(Supuestos!$C$190+Supuestos!$C$194)*(1+Supuestos!$C$36)^3*Estacionalidad!K$13</f>
        <v>83499167.33928</v>
      </c>
      <c r="L12" s="57" t="n">
        <f aca="false">(Supuestos!$C$190+Supuestos!$C$194)*(1+Supuestos!$C$36)^3*Estacionalidad!L$13</f>
        <v>83499167.33928</v>
      </c>
      <c r="M12" s="57" t="n">
        <f aca="false">(Supuestos!$C$190+Supuestos!$C$194)*(1+Supuestos!$C$36)^3*Estacionalidad!M$13</f>
        <v>83499167.33928</v>
      </c>
      <c r="N12" s="57" t="n">
        <f aca="false">(Supuestos!$C$190+Supuestos!$C$194)*(1+Supuestos!$C$36)^3*Estacionalidad!N$13</f>
        <v>80517054.22002</v>
      </c>
      <c r="O12" s="57" t="n">
        <f aca="false">(Supuestos!$C$190+Supuestos!$C$194)*(1+Supuestos!$C$36)^4*Estacionalidad!C$13</f>
        <v>80517054.22002</v>
      </c>
      <c r="P12" s="57" t="n">
        <f aca="false">(Supuestos!$C$190+Supuestos!$C$194)*(1+Supuestos!$C$36)^4*Estacionalidad!D$13</f>
        <v>81511091.92644</v>
      </c>
      <c r="Q12" s="57" t="n">
        <f aca="false">(Supuestos!$C$190+Supuestos!$C$194)*(1+Supuestos!$C$36)^4*Estacionalidad!E$13</f>
        <v>83499167.33928</v>
      </c>
      <c r="R12" s="57" t="n">
        <f aca="false">(Supuestos!$C$190+Supuestos!$C$194)*(1+Supuestos!$C$36)^4*Estacionalidad!F$13</f>
        <v>83499167.33928</v>
      </c>
      <c r="S12" s="57" t="n">
        <f aca="false">(Supuestos!$C$190+Supuestos!$C$194)*(1+Supuestos!$C$36)^4*Estacionalidad!G$13</f>
        <v>83499167.33928</v>
      </c>
      <c r="T12" s="57" t="n">
        <f aca="false">(Supuestos!$C$190+Supuestos!$C$194)*(1+Supuestos!$C$36)^4*Estacionalidad!H$13</f>
        <v>83499167.33928</v>
      </c>
      <c r="U12" s="57" t="n">
        <f aca="false">(Supuestos!$C$190+Supuestos!$C$194)*(1+Supuestos!$C$36)^4*Estacionalidad!I$13</f>
        <v>83499167.33928</v>
      </c>
      <c r="V12" s="57" t="n">
        <f aca="false">(Supuestos!$C$190+Supuestos!$C$194)*(1+Supuestos!$C$36)^4*Estacionalidad!J$13</f>
        <v>83499167.33928</v>
      </c>
      <c r="W12" s="57" t="n">
        <f aca="false">(Supuestos!$C$190+Supuestos!$C$194)*(1+Supuestos!$C$36)^4*Estacionalidad!K$13</f>
        <v>83499167.33928</v>
      </c>
      <c r="X12" s="57" t="n">
        <f aca="false">(Supuestos!$C$190+Supuestos!$C$194)*(1+Supuestos!$C$36)^4*Estacionalidad!L$13</f>
        <v>83499167.33928</v>
      </c>
      <c r="Y12" s="57" t="n">
        <f aca="false">(Supuestos!$C$190+Supuestos!$C$194)*(1+Supuestos!$C$36)^4*Estacionalidad!M$13</f>
        <v>83499167.33928</v>
      </c>
      <c r="Z12" s="57" t="n">
        <f aca="false">(Supuestos!$C$190+Supuestos!$C$194)*(1+Supuestos!$C$36)^4*Estacionalidad!N$13</f>
        <v>80517054.22002</v>
      </c>
      <c r="AA12" s="57" t="n">
        <f aca="false">(Supuestos!$C$190+Supuestos!$C$194)*(1+Supuestos!$C$36)^5*Estacionalidad!C$13</f>
        <v>80517054.22002</v>
      </c>
      <c r="AB12" s="57" t="n">
        <f aca="false">(Supuestos!$C$190+Supuestos!$C$194)*(1+Supuestos!$C$36)^5*Estacionalidad!D$13</f>
        <v>81511091.92644</v>
      </c>
      <c r="AC12" s="57" t="n">
        <f aca="false">(Supuestos!$C$190+Supuestos!$C$194)*(1+Supuestos!$C$36)^5*Estacionalidad!E$13</f>
        <v>83499167.33928</v>
      </c>
      <c r="AD12" s="57" t="n">
        <f aca="false">(Supuestos!$C$190+Supuestos!$C$194)*(1+Supuestos!$C$36)^5*Estacionalidad!F$13</f>
        <v>83499167.33928</v>
      </c>
      <c r="AE12" s="57" t="n">
        <f aca="false">(Supuestos!$C$190+Supuestos!$C$194)*(1+Supuestos!$C$36)^5*Estacionalidad!G$13</f>
        <v>83499167.33928</v>
      </c>
      <c r="AF12" s="57" t="n">
        <f aca="false">(Supuestos!$C$190+Supuestos!$C$194)*(1+Supuestos!$C$36)^5*Estacionalidad!H$13</f>
        <v>83499167.33928</v>
      </c>
      <c r="AG12" s="57" t="n">
        <f aca="false">(Supuestos!$C$190+Supuestos!$C$194)*(1+Supuestos!$C$36)^5*Estacionalidad!I$13</f>
        <v>83499167.33928</v>
      </c>
      <c r="AH12" s="57" t="n">
        <f aca="false">(Supuestos!$C$190+Supuestos!$C$194)*(1+Supuestos!$C$36)^5*Estacionalidad!J$13</f>
        <v>83499167.33928</v>
      </c>
      <c r="AI12" s="57" t="n">
        <f aca="false">(Supuestos!$C$190+Supuestos!$C$194)*(1+Supuestos!$C$36)^5*Estacionalidad!K$13</f>
        <v>83499167.33928</v>
      </c>
      <c r="AJ12" s="57" t="n">
        <f aca="false">(Supuestos!$C$190+Supuestos!$C$194)*(1+Supuestos!$C$36)^5*Estacionalidad!L$13</f>
        <v>83499167.33928</v>
      </c>
      <c r="AK12" s="57" t="n">
        <f aca="false">(Supuestos!$C$190+Supuestos!$C$194)*(1+Supuestos!$C$36)^5*Estacionalidad!M$13</f>
        <v>83499167.33928</v>
      </c>
      <c r="AL12" s="57" t="n">
        <f aca="false">(Supuestos!$C$190+Supuestos!$C$194)*(1+Supuestos!$C$36)^5*Estacionalidad!N$13</f>
        <v>80517054.22002</v>
      </c>
      <c r="AM12" s="57" t="n">
        <f aca="false">(Supuestos!$C$190+Supuestos!$C$194)*(1+Supuestos!$C$36)^6*Estacionalidad!C$13</f>
        <v>80517054.22002</v>
      </c>
      <c r="AN12" s="57" t="n">
        <f aca="false">(Supuestos!$C$190+Supuestos!$C$194)*(1+Supuestos!$C$36)^6*Estacionalidad!D$13</f>
        <v>81511091.92644</v>
      </c>
      <c r="AO12" s="57" t="n">
        <f aca="false">(Supuestos!$C$190+Supuestos!$C$194)*(1+Supuestos!$C$36)^6*Estacionalidad!E$13</f>
        <v>83499167.33928</v>
      </c>
      <c r="AP12" s="57" t="n">
        <f aca="false">(Supuestos!$C$190+Supuestos!$C$194)*(1+Supuestos!$C$36)^6*Estacionalidad!F$13</f>
        <v>83499167.33928</v>
      </c>
      <c r="AQ12" s="57" t="n">
        <f aca="false">(Supuestos!$C$190+Supuestos!$C$194)*(1+Supuestos!$C$36)^6*Estacionalidad!G$13</f>
        <v>83499167.33928</v>
      </c>
      <c r="AR12" s="57" t="n">
        <f aca="false">(Supuestos!$C$190+Supuestos!$C$194)*(1+Supuestos!$C$36)^6*Estacionalidad!H$13</f>
        <v>83499167.33928</v>
      </c>
      <c r="AS12" s="57" t="n">
        <f aca="false">(Supuestos!$C$190+Supuestos!$C$194)*(1+Supuestos!$C$36)^6*Estacionalidad!I$13</f>
        <v>83499167.33928</v>
      </c>
      <c r="AT12" s="57" t="n">
        <f aca="false">(Supuestos!$C$190+Supuestos!$C$194)*(1+Supuestos!$C$36)^6*Estacionalidad!J$13</f>
        <v>83499167.33928</v>
      </c>
      <c r="AU12" s="57" t="n">
        <f aca="false">(Supuestos!$C$190+Supuestos!$C$194)*(1+Supuestos!$C$36)^6*Estacionalidad!K$13</f>
        <v>83499167.33928</v>
      </c>
      <c r="AV12" s="57" t="n">
        <f aca="false">(Supuestos!$C$190+Supuestos!$C$194)*(1+Supuestos!$C$36)^6*Estacionalidad!L$13</f>
        <v>83499167.33928</v>
      </c>
      <c r="AW12" s="57" t="n">
        <f aca="false">(Supuestos!$C$190+Supuestos!$C$194)*(1+Supuestos!$C$36)^6*Estacionalidad!M$13</f>
        <v>83499167.33928</v>
      </c>
      <c r="AX12" s="57" t="n">
        <f aca="false">(Supuestos!$C$190+Supuestos!$C$194)*(1+Supuestos!$C$36)^6*Estacionalidad!N$13</f>
        <v>80517054.22002</v>
      </c>
      <c r="AY12" s="57" t="n">
        <f aca="false">(Supuestos!$C$190+Supuestos!$C$194)*(1+Supuestos!$C$36)^7*Estacionalidad!C$13</f>
        <v>80517054.22002</v>
      </c>
      <c r="AZ12" s="57" t="n">
        <f aca="false">(Supuestos!$C$190+Supuestos!$C$194)*(1+Supuestos!$C$36)^7*Estacionalidad!D$13</f>
        <v>81511091.92644</v>
      </c>
      <c r="BA12" s="57" t="n">
        <f aca="false">(Supuestos!$C$190+Supuestos!$C$194)*(1+Supuestos!$C$36)^7*Estacionalidad!E$13</f>
        <v>83499167.33928</v>
      </c>
      <c r="BB12" s="57" t="n">
        <f aca="false">(Supuestos!$C$190+Supuestos!$C$194)*(1+Supuestos!$C$36)^7*Estacionalidad!F$13</f>
        <v>83499167.33928</v>
      </c>
      <c r="BC12" s="57" t="n">
        <f aca="false">(Supuestos!$C$190+Supuestos!$C$194)*(1+Supuestos!$C$36)^7*Estacionalidad!G$13</f>
        <v>83499167.33928</v>
      </c>
      <c r="BD12" s="57" t="n">
        <f aca="false">(Supuestos!$C$190+Supuestos!$C$194)*(1+Supuestos!$C$36)^7*Estacionalidad!H$13</f>
        <v>83499167.33928</v>
      </c>
      <c r="BE12" s="57" t="n">
        <f aca="false">(Supuestos!$C$190+Supuestos!$C$194)*(1+Supuestos!$C$36)^7*Estacionalidad!I$13</f>
        <v>83499167.33928</v>
      </c>
      <c r="BF12" s="57" t="n">
        <f aca="false">(Supuestos!$C$190+Supuestos!$C$194)*(1+Supuestos!$C$36)^7*Estacionalidad!J$13</f>
        <v>83499167.33928</v>
      </c>
      <c r="BG12" s="57" t="n">
        <f aca="false">(Supuestos!$C$190+Supuestos!$C$194)*(1+Supuestos!$C$36)^7*Estacionalidad!K$13</f>
        <v>83499167.33928</v>
      </c>
      <c r="BH12" s="57" t="n">
        <f aca="false">(Supuestos!$C$190+Supuestos!$C$194)*(1+Supuestos!$C$36)^7*Estacionalidad!L$13</f>
        <v>83499167.33928</v>
      </c>
      <c r="BI12" s="57" t="n">
        <f aca="false">(Supuestos!$C$190+Supuestos!$C$194)*(1+Supuestos!$C$36)^7*Estacionalidad!M$13</f>
        <v>83499167.33928</v>
      </c>
      <c r="BJ12" s="57" t="n">
        <f aca="false">(Supuestos!$C$190+Supuestos!$C$194)*(1+Supuestos!$C$36)^7*Estacionalidad!N$13</f>
        <v>80517054.22002</v>
      </c>
      <c r="BK12" s="57" t="n">
        <f aca="false">(Supuestos!$C$190+Supuestos!$C$194)*(1+Supuestos!$C$36)^8*Estacionalidad!C$13</f>
        <v>80517054.22002</v>
      </c>
      <c r="BL12" s="57" t="n">
        <f aca="false">(Supuestos!$C$190+Supuestos!$C$194)*(1+Supuestos!$C$36)^8*Estacionalidad!D$13</f>
        <v>81511091.92644</v>
      </c>
      <c r="BM12" s="57" t="n">
        <f aca="false">(Supuestos!$C$190+Supuestos!$C$194)*(1+Supuestos!$C$36)^8*Estacionalidad!E$13</f>
        <v>83499167.33928</v>
      </c>
      <c r="BN12" s="57" t="n">
        <f aca="false">(Supuestos!$C$190+Supuestos!$C$194)*(1+Supuestos!$C$36)^8*Estacionalidad!F$13</f>
        <v>83499167.33928</v>
      </c>
      <c r="BO12" s="57" t="n">
        <f aca="false">(Supuestos!$C$190+Supuestos!$C$194)*(1+Supuestos!$C$36)^8*Estacionalidad!G$13</f>
        <v>83499167.33928</v>
      </c>
      <c r="BP12" s="57" t="n">
        <f aca="false">(Supuestos!$C$190+Supuestos!$C$194)*(1+Supuestos!$C$36)^8*Estacionalidad!H$13</f>
        <v>83499167.33928</v>
      </c>
      <c r="BQ12" s="57" t="n">
        <f aca="false">(Supuestos!$C$190+Supuestos!$C$194)*(1+Supuestos!$C$36)^8*Estacionalidad!I$13</f>
        <v>83499167.33928</v>
      </c>
      <c r="BR12" s="57" t="n">
        <f aca="false">(Supuestos!$C$190+Supuestos!$C$194)*(1+Supuestos!$C$36)^8*Estacionalidad!J$13</f>
        <v>83499167.33928</v>
      </c>
      <c r="BS12" s="57" t="n">
        <f aca="false">(Supuestos!$C$190+Supuestos!$C$194)*(1+Supuestos!$C$36)^8*Estacionalidad!K$13</f>
        <v>83499167.33928</v>
      </c>
      <c r="BT12" s="57" t="n">
        <f aca="false">(Supuestos!$C$190+Supuestos!$C$194)*(1+Supuestos!$C$36)^8*Estacionalidad!L$13</f>
        <v>83499167.33928</v>
      </c>
      <c r="BU12" s="57" t="n">
        <f aca="false">(Supuestos!$C$190+Supuestos!$C$194)*(1+Supuestos!$C$36)^8*Estacionalidad!M$13</f>
        <v>83499167.33928</v>
      </c>
      <c r="BV12" s="57" t="n">
        <f aca="false">(Supuestos!$C$190+Supuestos!$C$194)*(1+Supuestos!$C$36)^8*Estacionalidad!N$13</f>
        <v>80517054.22002</v>
      </c>
      <c r="BW12" s="57" t="n">
        <f aca="false">(Supuestos!$C$190+Supuestos!$C$194)*(1+Supuestos!$C$36)^9*Estacionalidad!C$13</f>
        <v>80517054.22002</v>
      </c>
      <c r="BX12" s="57" t="n">
        <f aca="false">(Supuestos!$C$190+Supuestos!$C$194)*(1+Supuestos!$C$36)^9*Estacionalidad!D$13</f>
        <v>81511091.92644</v>
      </c>
      <c r="BY12" s="57" t="n">
        <f aca="false">(Supuestos!$C$190+Supuestos!$C$194)*(1+Supuestos!$C$36)^9*Estacionalidad!E$13</f>
        <v>83499167.33928</v>
      </c>
      <c r="BZ12" s="57" t="n">
        <f aca="false">(Supuestos!$C$190+Supuestos!$C$194)*(1+Supuestos!$C$36)^9*Estacionalidad!F$13</f>
        <v>83499167.33928</v>
      </c>
      <c r="CA12" s="57" t="n">
        <f aca="false">(Supuestos!$C$190+Supuestos!$C$194)*(1+Supuestos!$C$36)^9*Estacionalidad!G$13</f>
        <v>83499167.33928</v>
      </c>
      <c r="CB12" s="57" t="n">
        <f aca="false">(Supuestos!$C$190+Supuestos!$C$194)*(1+Supuestos!$C$36)^9*Estacionalidad!H$13</f>
        <v>83499167.33928</v>
      </c>
      <c r="CC12" s="57" t="n">
        <f aca="false">(Supuestos!$C$190+Supuestos!$C$194)*(1+Supuestos!$C$36)^9*Estacionalidad!I$13</f>
        <v>83499167.33928</v>
      </c>
      <c r="CD12" s="57" t="n">
        <f aca="false">(Supuestos!$C$190+Supuestos!$C$194)*(1+Supuestos!$C$36)^9*Estacionalidad!J$13</f>
        <v>83499167.33928</v>
      </c>
      <c r="CE12" s="57" t="n">
        <f aca="false">(Supuestos!$C$190+Supuestos!$C$194)*(1+Supuestos!$C$36)^9*Estacionalidad!K$13</f>
        <v>83499167.33928</v>
      </c>
      <c r="CF12" s="57" t="n">
        <f aca="false">(Supuestos!$C$190+Supuestos!$C$194)*(1+Supuestos!$C$36)^9*Estacionalidad!L$13</f>
        <v>83499167.33928</v>
      </c>
      <c r="CG12" s="57" t="n">
        <f aca="false">(Supuestos!$C$190+Supuestos!$C$194)*(1+Supuestos!$C$36)^9*Estacionalidad!M$13</f>
        <v>83499167.33928</v>
      </c>
      <c r="CH12" s="57" t="n">
        <f aca="false">(Supuestos!$C$190+Supuestos!$C$194)*(1+Supuestos!$C$36)^9*Estacionalidad!N$13</f>
        <v>80517054.22002</v>
      </c>
      <c r="CI12" s="57" t="n">
        <f aca="false">(Supuestos!$C$190+Supuestos!$C$194)*(1+Supuestos!$C$36)^10*Estacionalidad!C$13</f>
        <v>80517054.22002</v>
      </c>
      <c r="CJ12" s="57" t="n">
        <f aca="false">(Supuestos!$C$190+Supuestos!$C$194)*(1+Supuestos!$C$36)^10*Estacionalidad!D$13</f>
        <v>81511091.92644</v>
      </c>
      <c r="CK12" s="57" t="n">
        <f aca="false">(Supuestos!$C$190+Supuestos!$C$194)*(1+Supuestos!$C$36)^10*Estacionalidad!E$13</f>
        <v>83499167.33928</v>
      </c>
      <c r="CL12" s="57" t="n">
        <f aca="false">(Supuestos!$C$190+Supuestos!$C$194)*(1+Supuestos!$C$36)^10*Estacionalidad!F$13</f>
        <v>83499167.33928</v>
      </c>
      <c r="CM12" s="57" t="n">
        <f aca="false">(Supuestos!$C$190+Supuestos!$C$194)*(1+Supuestos!$C$36)^10*Estacionalidad!G$13</f>
        <v>83499167.33928</v>
      </c>
      <c r="CN12" s="57" t="n">
        <f aca="false">(Supuestos!$C$190+Supuestos!$C$194)*(1+Supuestos!$C$36)^10*Estacionalidad!H$13</f>
        <v>83499167.33928</v>
      </c>
      <c r="CO12" s="57" t="n">
        <f aca="false">(Supuestos!$C$190+Supuestos!$C$194)*(1+Supuestos!$C$36)^10*Estacionalidad!I$13</f>
        <v>83499167.33928</v>
      </c>
      <c r="CP12" s="57" t="n">
        <f aca="false">(Supuestos!$C$190+Supuestos!$C$194)*(1+Supuestos!$C$36)^10*Estacionalidad!J$13</f>
        <v>83499167.33928</v>
      </c>
      <c r="CQ12" s="57" t="n">
        <f aca="false">(Supuestos!$C$190+Supuestos!$C$194)*(1+Supuestos!$C$36)^10*Estacionalidad!K$13</f>
        <v>83499167.33928</v>
      </c>
      <c r="CR12" s="57" t="n">
        <f aca="false">(Supuestos!$C$190+Supuestos!$C$194)*(1+Supuestos!$C$36)^10*Estacionalidad!L$13</f>
        <v>83499167.33928</v>
      </c>
      <c r="CS12" s="57" t="n">
        <f aca="false">(Supuestos!$C$190+Supuestos!$C$194)*(1+Supuestos!$C$36)^10*Estacionalidad!M$13</f>
        <v>83499167.33928</v>
      </c>
      <c r="CT12" s="57" t="n">
        <f aca="false">(Supuestos!$C$190+Supuestos!$C$194)*(1+Supuestos!$C$36)^10*Estacionalidad!N$13</f>
        <v>80517054.22002</v>
      </c>
    </row>
    <row r="13" customFormat="false" ht="15" hidden="false" customHeight="true" outlineLevel="0" collapsed="false">
      <c r="B13" s="19" t="s">
        <v>339</v>
      </c>
      <c r="C13" s="57" t="n">
        <f aca="false">(Supuestos!$C$195)*(1+Supuestos!$C$36)^3*Estacionalidad!C$13</f>
        <v>2628126844.47846</v>
      </c>
      <c r="D13" s="57" t="n">
        <f aca="false">(Supuestos!$C$195)*(1+Supuestos!$C$36)^3*Estacionalidad!D$13</f>
        <v>2660572854.90412</v>
      </c>
      <c r="E13" s="57" t="n">
        <f aca="false">(Supuestos!$C$195)*(1+Supuestos!$C$36)^3*Estacionalidad!E$13</f>
        <v>2725464875.75544</v>
      </c>
      <c r="F13" s="57" t="n">
        <f aca="false">(Supuestos!$C$195)*(1+Supuestos!$C$36)^3*Estacionalidad!F$13</f>
        <v>2725464875.75544</v>
      </c>
      <c r="G13" s="57" t="n">
        <f aca="false">(Supuestos!$C$195)*(1+Supuestos!$C$36)^3*Estacionalidad!G$13</f>
        <v>2725464875.75544</v>
      </c>
      <c r="H13" s="57" t="n">
        <f aca="false">(Supuestos!$C$195)*(1+Supuestos!$C$36)^3*Estacionalidad!H$13</f>
        <v>2725464875.75544</v>
      </c>
      <c r="I13" s="57" t="n">
        <f aca="false">(Supuestos!$C$195)*(1+Supuestos!$C$36)^3*Estacionalidad!I$13</f>
        <v>2725464875.75544</v>
      </c>
      <c r="J13" s="57" t="n">
        <f aca="false">(Supuestos!$C$195)*(1+Supuestos!$C$36)^3*Estacionalidad!J$13</f>
        <v>2725464875.75544</v>
      </c>
      <c r="K13" s="57" t="n">
        <f aca="false">(Supuestos!$C$195)*(1+Supuestos!$C$36)^3*Estacionalidad!K$13</f>
        <v>2725464875.75544</v>
      </c>
      <c r="L13" s="57" t="n">
        <f aca="false">(Supuestos!$C$195)*(1+Supuestos!$C$36)^3*Estacionalidad!L$13</f>
        <v>2725464875.75544</v>
      </c>
      <c r="M13" s="57" t="n">
        <f aca="false">(Supuestos!$C$195)*(1+Supuestos!$C$36)^3*Estacionalidad!M$13</f>
        <v>2725464875.75544</v>
      </c>
      <c r="N13" s="57" t="n">
        <f aca="false">(Supuestos!$C$195)*(1+Supuestos!$C$36)^3*Estacionalidad!N$13</f>
        <v>2628126844.47846</v>
      </c>
      <c r="O13" s="57" t="n">
        <f aca="false">(Supuestos!$C$195)*(1+Supuestos!$C$36)^4*Estacionalidad!C$13</f>
        <v>2628126844.47846</v>
      </c>
      <c r="P13" s="57" t="n">
        <f aca="false">(Supuestos!$C$195)*(1+Supuestos!$C$36)^4*Estacionalidad!D$13</f>
        <v>2660572854.90412</v>
      </c>
      <c r="Q13" s="57" t="n">
        <f aca="false">(Supuestos!$C$195)*(1+Supuestos!$C$36)^4*Estacionalidad!E$13</f>
        <v>2725464875.75544</v>
      </c>
      <c r="R13" s="57" t="n">
        <f aca="false">(Supuestos!$C$195)*(1+Supuestos!$C$36)^4*Estacionalidad!F$13</f>
        <v>2725464875.75544</v>
      </c>
      <c r="S13" s="57" t="n">
        <f aca="false">(Supuestos!$C$195)*(1+Supuestos!$C$36)^4*Estacionalidad!G$13</f>
        <v>2725464875.75544</v>
      </c>
      <c r="T13" s="57" t="n">
        <f aca="false">(Supuestos!$C$195)*(1+Supuestos!$C$36)^4*Estacionalidad!H$13</f>
        <v>2725464875.75544</v>
      </c>
      <c r="U13" s="57" t="n">
        <f aca="false">(Supuestos!$C$195)*(1+Supuestos!$C$36)^4*Estacionalidad!I$13</f>
        <v>2725464875.75544</v>
      </c>
      <c r="V13" s="57" t="n">
        <f aca="false">(Supuestos!$C$195)*(1+Supuestos!$C$36)^4*Estacionalidad!J$13</f>
        <v>2725464875.75544</v>
      </c>
      <c r="W13" s="57" t="n">
        <f aca="false">(Supuestos!$C$195)*(1+Supuestos!$C$36)^4*Estacionalidad!K$13</f>
        <v>2725464875.75544</v>
      </c>
      <c r="X13" s="57" t="n">
        <f aca="false">(Supuestos!$C$195)*(1+Supuestos!$C$36)^4*Estacionalidad!L$13</f>
        <v>2725464875.75544</v>
      </c>
      <c r="Y13" s="57" t="n">
        <f aca="false">(Supuestos!$C$195)*(1+Supuestos!$C$36)^4*Estacionalidad!M$13</f>
        <v>2725464875.75544</v>
      </c>
      <c r="Z13" s="57" t="n">
        <f aca="false">(Supuestos!$C$195)*(1+Supuestos!$C$36)^4*Estacionalidad!N$13</f>
        <v>2628126844.47846</v>
      </c>
      <c r="AA13" s="57" t="n">
        <f aca="false">(Supuestos!$C$195)*(1+Supuestos!$C$36)^5*Estacionalidad!C$13</f>
        <v>2628126844.47846</v>
      </c>
      <c r="AB13" s="57" t="n">
        <f aca="false">(Supuestos!$C$195)*(1+Supuestos!$C$36)^5*Estacionalidad!D$13</f>
        <v>2660572854.90412</v>
      </c>
      <c r="AC13" s="57" t="n">
        <f aca="false">(Supuestos!$C$195)*(1+Supuestos!$C$36)^5*Estacionalidad!E$13</f>
        <v>2725464875.75544</v>
      </c>
      <c r="AD13" s="57" t="n">
        <f aca="false">(Supuestos!$C$195)*(1+Supuestos!$C$36)^5*Estacionalidad!F$13</f>
        <v>2725464875.75544</v>
      </c>
      <c r="AE13" s="57" t="n">
        <f aca="false">(Supuestos!$C$195)*(1+Supuestos!$C$36)^5*Estacionalidad!G$13</f>
        <v>2725464875.75544</v>
      </c>
      <c r="AF13" s="57" t="n">
        <f aca="false">(Supuestos!$C$195)*(1+Supuestos!$C$36)^5*Estacionalidad!H$13</f>
        <v>2725464875.75544</v>
      </c>
      <c r="AG13" s="57" t="n">
        <f aca="false">(Supuestos!$C$195)*(1+Supuestos!$C$36)^5*Estacionalidad!I$13</f>
        <v>2725464875.75544</v>
      </c>
      <c r="AH13" s="57" t="n">
        <f aca="false">(Supuestos!$C$195)*(1+Supuestos!$C$36)^5*Estacionalidad!J$13</f>
        <v>2725464875.75544</v>
      </c>
      <c r="AI13" s="57" t="n">
        <f aca="false">(Supuestos!$C$195)*(1+Supuestos!$C$36)^5*Estacionalidad!K$13</f>
        <v>2725464875.75544</v>
      </c>
      <c r="AJ13" s="57" t="n">
        <f aca="false">(Supuestos!$C$195)*(1+Supuestos!$C$36)^5*Estacionalidad!L$13</f>
        <v>2725464875.75544</v>
      </c>
      <c r="AK13" s="57" t="n">
        <f aca="false">(Supuestos!$C$195)*(1+Supuestos!$C$36)^5*Estacionalidad!M$13</f>
        <v>2725464875.75544</v>
      </c>
      <c r="AL13" s="57" t="n">
        <f aca="false">(Supuestos!$C$195)*(1+Supuestos!$C$36)^5*Estacionalidad!N$13</f>
        <v>2628126844.47846</v>
      </c>
      <c r="AM13" s="57" t="n">
        <f aca="false">(Supuestos!$C$195)*(1+Supuestos!$C$36)^6*Estacionalidad!C$13</f>
        <v>2628126844.47846</v>
      </c>
      <c r="AN13" s="57" t="n">
        <f aca="false">(Supuestos!$C$195)*(1+Supuestos!$C$36)^6*Estacionalidad!D$13</f>
        <v>2660572854.90412</v>
      </c>
      <c r="AO13" s="57" t="n">
        <f aca="false">(Supuestos!$C$195)*(1+Supuestos!$C$36)^6*Estacionalidad!E$13</f>
        <v>2725464875.75544</v>
      </c>
      <c r="AP13" s="57" t="n">
        <f aca="false">(Supuestos!$C$195)*(1+Supuestos!$C$36)^6*Estacionalidad!F$13</f>
        <v>2725464875.75544</v>
      </c>
      <c r="AQ13" s="57" t="n">
        <f aca="false">(Supuestos!$C$195)*(1+Supuestos!$C$36)^6*Estacionalidad!G$13</f>
        <v>2725464875.75544</v>
      </c>
      <c r="AR13" s="57" t="n">
        <f aca="false">(Supuestos!$C$195)*(1+Supuestos!$C$36)^6*Estacionalidad!H$13</f>
        <v>2725464875.75544</v>
      </c>
      <c r="AS13" s="57" t="n">
        <f aca="false">(Supuestos!$C$195)*(1+Supuestos!$C$36)^6*Estacionalidad!I$13</f>
        <v>2725464875.75544</v>
      </c>
      <c r="AT13" s="57" t="n">
        <f aca="false">(Supuestos!$C$195)*(1+Supuestos!$C$36)^6*Estacionalidad!J$13</f>
        <v>2725464875.75544</v>
      </c>
      <c r="AU13" s="57" t="n">
        <f aca="false">(Supuestos!$C$195)*(1+Supuestos!$C$36)^6*Estacionalidad!K$13</f>
        <v>2725464875.75544</v>
      </c>
      <c r="AV13" s="57" t="n">
        <f aca="false">(Supuestos!$C$195)*(1+Supuestos!$C$36)^6*Estacionalidad!L$13</f>
        <v>2725464875.75544</v>
      </c>
      <c r="AW13" s="57" t="n">
        <f aca="false">(Supuestos!$C$195)*(1+Supuestos!$C$36)^6*Estacionalidad!M$13</f>
        <v>2725464875.75544</v>
      </c>
      <c r="AX13" s="57" t="n">
        <f aca="false">(Supuestos!$C$195)*(1+Supuestos!$C$36)^6*Estacionalidad!N$13</f>
        <v>2628126844.47846</v>
      </c>
      <c r="AY13" s="57" t="n">
        <f aca="false">(Supuestos!$C$195)*(1+Supuestos!$C$36)^7*Estacionalidad!C$13</f>
        <v>2628126844.47846</v>
      </c>
      <c r="AZ13" s="57" t="n">
        <f aca="false">(Supuestos!$C$195)*(1+Supuestos!$C$36)^7*Estacionalidad!D$13</f>
        <v>2660572854.90412</v>
      </c>
      <c r="BA13" s="57" t="n">
        <f aca="false">(Supuestos!$C$195)*(1+Supuestos!$C$36)^7*Estacionalidad!E$13</f>
        <v>2725464875.75544</v>
      </c>
      <c r="BB13" s="57" t="n">
        <f aca="false">(Supuestos!$C$195)*(1+Supuestos!$C$36)^7*Estacionalidad!F$13</f>
        <v>2725464875.75544</v>
      </c>
      <c r="BC13" s="57" t="n">
        <f aca="false">(Supuestos!$C$195)*(1+Supuestos!$C$36)^7*Estacionalidad!G$13</f>
        <v>2725464875.75544</v>
      </c>
      <c r="BD13" s="57" t="n">
        <f aca="false">(Supuestos!$C$195)*(1+Supuestos!$C$36)^7*Estacionalidad!H$13</f>
        <v>2725464875.75544</v>
      </c>
      <c r="BE13" s="57" t="n">
        <f aca="false">(Supuestos!$C$195)*(1+Supuestos!$C$36)^7*Estacionalidad!I$13</f>
        <v>2725464875.75544</v>
      </c>
      <c r="BF13" s="57" t="n">
        <f aca="false">(Supuestos!$C$195)*(1+Supuestos!$C$36)^7*Estacionalidad!J$13</f>
        <v>2725464875.75544</v>
      </c>
      <c r="BG13" s="57" t="n">
        <f aca="false">(Supuestos!$C$195)*(1+Supuestos!$C$36)^7*Estacionalidad!K$13</f>
        <v>2725464875.75544</v>
      </c>
      <c r="BH13" s="57" t="n">
        <f aca="false">(Supuestos!$C$195)*(1+Supuestos!$C$36)^7*Estacionalidad!L$13</f>
        <v>2725464875.75544</v>
      </c>
      <c r="BI13" s="57" t="n">
        <f aca="false">(Supuestos!$C$195)*(1+Supuestos!$C$36)^7*Estacionalidad!M$13</f>
        <v>2725464875.75544</v>
      </c>
      <c r="BJ13" s="57" t="n">
        <f aca="false">(Supuestos!$C$195)*(1+Supuestos!$C$36)^7*Estacionalidad!N$13</f>
        <v>2628126844.47846</v>
      </c>
      <c r="BK13" s="57" t="n">
        <f aca="false">(Supuestos!$C$195)*(1+Supuestos!$C$36)^8*Estacionalidad!C$13</f>
        <v>2628126844.47846</v>
      </c>
      <c r="BL13" s="57" t="n">
        <f aca="false">(Supuestos!$C$195)*(1+Supuestos!$C$36)^8*Estacionalidad!D$13</f>
        <v>2660572854.90412</v>
      </c>
      <c r="BM13" s="57" t="n">
        <f aca="false">(Supuestos!$C$195)*(1+Supuestos!$C$36)^8*Estacionalidad!E$13</f>
        <v>2725464875.75544</v>
      </c>
      <c r="BN13" s="57" t="n">
        <f aca="false">(Supuestos!$C$195)*(1+Supuestos!$C$36)^8*Estacionalidad!F$13</f>
        <v>2725464875.75544</v>
      </c>
      <c r="BO13" s="57" t="n">
        <f aca="false">(Supuestos!$C$195)*(1+Supuestos!$C$36)^8*Estacionalidad!G$13</f>
        <v>2725464875.75544</v>
      </c>
      <c r="BP13" s="57" t="n">
        <f aca="false">(Supuestos!$C$195)*(1+Supuestos!$C$36)^8*Estacionalidad!H$13</f>
        <v>2725464875.75544</v>
      </c>
      <c r="BQ13" s="57" t="n">
        <f aca="false">(Supuestos!$C$195)*(1+Supuestos!$C$36)^8*Estacionalidad!I$13</f>
        <v>2725464875.75544</v>
      </c>
      <c r="BR13" s="57" t="n">
        <f aca="false">(Supuestos!$C$195)*(1+Supuestos!$C$36)^8*Estacionalidad!J$13</f>
        <v>2725464875.75544</v>
      </c>
      <c r="BS13" s="57" t="n">
        <f aca="false">(Supuestos!$C$195)*(1+Supuestos!$C$36)^8*Estacionalidad!K$13</f>
        <v>2725464875.75544</v>
      </c>
      <c r="BT13" s="57" t="n">
        <f aca="false">(Supuestos!$C$195)*(1+Supuestos!$C$36)^8*Estacionalidad!L$13</f>
        <v>2725464875.75544</v>
      </c>
      <c r="BU13" s="57" t="n">
        <f aca="false">(Supuestos!$C$195)*(1+Supuestos!$C$36)^8*Estacionalidad!M$13</f>
        <v>2725464875.75544</v>
      </c>
      <c r="BV13" s="57" t="n">
        <f aca="false">(Supuestos!$C$195)*(1+Supuestos!$C$36)^8*Estacionalidad!N$13</f>
        <v>2628126844.47846</v>
      </c>
      <c r="BW13" s="57" t="n">
        <f aca="false">(Supuestos!$C$195)*(1+Supuestos!$C$36)^9*Estacionalidad!C$13</f>
        <v>2628126844.47846</v>
      </c>
      <c r="BX13" s="57" t="n">
        <f aca="false">(Supuestos!$C$195)*(1+Supuestos!$C$36)^9*Estacionalidad!D$13</f>
        <v>2660572854.90412</v>
      </c>
      <c r="BY13" s="57" t="n">
        <f aca="false">(Supuestos!$C$195)*(1+Supuestos!$C$36)^9*Estacionalidad!E$13</f>
        <v>2725464875.75544</v>
      </c>
      <c r="BZ13" s="57" t="n">
        <f aca="false">(Supuestos!$C$195)*(1+Supuestos!$C$36)^9*Estacionalidad!F$13</f>
        <v>2725464875.75544</v>
      </c>
      <c r="CA13" s="57" t="n">
        <f aca="false">(Supuestos!$C$195)*(1+Supuestos!$C$36)^9*Estacionalidad!G$13</f>
        <v>2725464875.75544</v>
      </c>
      <c r="CB13" s="57" t="n">
        <f aca="false">(Supuestos!$C$195)*(1+Supuestos!$C$36)^9*Estacionalidad!H$13</f>
        <v>2725464875.75544</v>
      </c>
      <c r="CC13" s="57" t="n">
        <f aca="false">(Supuestos!$C$195)*(1+Supuestos!$C$36)^9*Estacionalidad!I$13</f>
        <v>2725464875.75544</v>
      </c>
      <c r="CD13" s="57" t="n">
        <f aca="false">(Supuestos!$C$195)*(1+Supuestos!$C$36)^9*Estacionalidad!J$13</f>
        <v>2725464875.75544</v>
      </c>
      <c r="CE13" s="57" t="n">
        <f aca="false">(Supuestos!$C$195)*(1+Supuestos!$C$36)^9*Estacionalidad!K$13</f>
        <v>2725464875.75544</v>
      </c>
      <c r="CF13" s="57" t="n">
        <f aca="false">(Supuestos!$C$195)*(1+Supuestos!$C$36)^9*Estacionalidad!L$13</f>
        <v>2725464875.75544</v>
      </c>
      <c r="CG13" s="57" t="n">
        <f aca="false">(Supuestos!$C$195)*(1+Supuestos!$C$36)^9*Estacionalidad!M$13</f>
        <v>2725464875.75544</v>
      </c>
      <c r="CH13" s="57" t="n">
        <f aca="false">(Supuestos!$C$195)*(1+Supuestos!$C$36)^9*Estacionalidad!N$13</f>
        <v>2628126844.47846</v>
      </c>
      <c r="CI13" s="57" t="n">
        <f aca="false">(Supuestos!$C$195)*(1+Supuestos!$C$36)^10*Estacionalidad!C$13</f>
        <v>2628126844.47846</v>
      </c>
      <c r="CJ13" s="57" t="n">
        <f aca="false">(Supuestos!$C$195)*(1+Supuestos!$C$36)^10*Estacionalidad!D$13</f>
        <v>2660572854.90412</v>
      </c>
      <c r="CK13" s="57" t="n">
        <f aca="false">(Supuestos!$C$195)*(1+Supuestos!$C$36)^10*Estacionalidad!E$13</f>
        <v>2725464875.75544</v>
      </c>
      <c r="CL13" s="57" t="n">
        <f aca="false">(Supuestos!$C$195)*(1+Supuestos!$C$36)^10*Estacionalidad!F$13</f>
        <v>2725464875.75544</v>
      </c>
      <c r="CM13" s="57" t="n">
        <f aca="false">(Supuestos!$C$195)*(1+Supuestos!$C$36)^10*Estacionalidad!G$13</f>
        <v>2725464875.75544</v>
      </c>
      <c r="CN13" s="57" t="n">
        <f aca="false">(Supuestos!$C$195)*(1+Supuestos!$C$36)^10*Estacionalidad!H$13</f>
        <v>2725464875.75544</v>
      </c>
      <c r="CO13" s="57" t="n">
        <f aca="false">(Supuestos!$C$195)*(1+Supuestos!$C$36)^10*Estacionalidad!I$13</f>
        <v>2725464875.75544</v>
      </c>
      <c r="CP13" s="57" t="n">
        <f aca="false">(Supuestos!$C$195)*(1+Supuestos!$C$36)^10*Estacionalidad!J$13</f>
        <v>2725464875.75544</v>
      </c>
      <c r="CQ13" s="57" t="n">
        <f aca="false">(Supuestos!$C$195)*(1+Supuestos!$C$36)^10*Estacionalidad!K$13</f>
        <v>2725464875.75544</v>
      </c>
      <c r="CR13" s="57" t="n">
        <f aca="false">(Supuestos!$C$195)*(1+Supuestos!$C$36)^10*Estacionalidad!L$13</f>
        <v>2725464875.75544</v>
      </c>
      <c r="CS13" s="57" t="n">
        <f aca="false">(Supuestos!$C$195)*(1+Supuestos!$C$36)^10*Estacionalidad!M$13</f>
        <v>2725464875.75544</v>
      </c>
      <c r="CT13" s="57" t="n">
        <f aca="false">(Supuestos!$C$195)*(1+Supuestos!$C$36)^10*Estacionalidad!N$13</f>
        <v>2628126844.47846</v>
      </c>
    </row>
    <row r="14" customFormat="false" ht="15" hidden="false" customHeight="true" outlineLevel="0" collapsed="false">
      <c r="B14" s="19" t="s">
        <v>340</v>
      </c>
      <c r="C14" s="57" t="n">
        <f aca="false">(Supuestos!$C$196)*(1+Supuestos!$C$36)^3*Estacionalidad!C$13+Programas!C$14+Programas!C$15</f>
        <v>6381822623.2554</v>
      </c>
      <c r="D14" s="57" t="n">
        <f aca="false">(Supuestos!$C$196)*(1+Supuestos!$C$36)^3*Estacionalidad!D$13+Programas!D$14+Programas!D$15</f>
        <v>6460039692.62773</v>
      </c>
      <c r="E14" s="57" t="n">
        <f aca="false">(Supuestos!$C$196)*(1+Supuestos!$C$36)^3*Estacionalidad!E$13+Programas!E$14+Programas!E$15</f>
        <v>6616473831.37239</v>
      </c>
      <c r="F14" s="57" t="n">
        <f aca="false">(Supuestos!$C$196)*(1+Supuestos!$C$36)^3*Estacionalidad!F$13+Programas!F$14+Programas!F$15</f>
        <v>6616473831.37239</v>
      </c>
      <c r="G14" s="57" t="n">
        <f aca="false">(Supuestos!$C$196)*(1+Supuestos!$C$36)^3*Estacionalidad!G$13+Programas!G$14+Programas!G$15</f>
        <v>6616473831.37239</v>
      </c>
      <c r="H14" s="57" t="n">
        <f aca="false">(Supuestos!$C$196)*(1+Supuestos!$C$36)^3*Estacionalidad!H$13+Programas!H$14+Programas!H$15</f>
        <v>6616473831.37239</v>
      </c>
      <c r="I14" s="57" t="n">
        <f aca="false">(Supuestos!$C$196)*(1+Supuestos!$C$36)^3*Estacionalidad!I$13+Programas!I$14+Programas!I$15</f>
        <v>6616473831.37239</v>
      </c>
      <c r="J14" s="57" t="n">
        <f aca="false">(Supuestos!$C$196)*(1+Supuestos!$C$36)^3*Estacionalidad!J$13+Programas!J$14+Programas!J$15</f>
        <v>6616473831.37239</v>
      </c>
      <c r="K14" s="57" t="n">
        <f aca="false">(Supuestos!$C$196)*(1+Supuestos!$C$36)^3*Estacionalidad!K$13+Programas!K$14+Programas!K$15</f>
        <v>6616473831.37239</v>
      </c>
      <c r="L14" s="57" t="n">
        <f aca="false">(Supuestos!$C$196)*(1+Supuestos!$C$36)^3*Estacionalidad!L$13+Programas!L$14+Programas!L$15</f>
        <v>6616473831.37239</v>
      </c>
      <c r="M14" s="57" t="n">
        <f aca="false">(Supuestos!$C$196)*(1+Supuestos!$C$36)^3*Estacionalidad!M$13+Programas!M$14+Programas!M$15</f>
        <v>6616473831.37239</v>
      </c>
      <c r="N14" s="57" t="n">
        <f aca="false">(Supuestos!$C$196)*(1+Supuestos!$C$36)^3*Estacionalidad!N$13+Programas!N$14+Programas!N$15</f>
        <v>6381822623.2554</v>
      </c>
      <c r="O14" s="57" t="n">
        <f aca="false">(Supuestos!$C$196)*(1+Supuestos!$C$36)^4*Estacionalidad!C$13+Programas!O$14+Programas!O$15</f>
        <v>6417948593.55327</v>
      </c>
      <c r="P14" s="57" t="n">
        <f aca="false">(Supuestos!$C$196)*(1+Supuestos!$C$36)^4*Estacionalidad!D$13+Programas!P$14+Programas!P$15</f>
        <v>6496165662.9256</v>
      </c>
      <c r="Q14" s="57" t="n">
        <f aca="false">(Supuestos!$C$196)*(1+Supuestos!$C$36)^4*Estacionalidad!E$13+Programas!Q$14+Programas!Q$15</f>
        <v>6652599801.67026</v>
      </c>
      <c r="R14" s="57" t="n">
        <f aca="false">(Supuestos!$C$196)*(1+Supuestos!$C$36)^4*Estacionalidad!F$13+Programas!R$14+Programas!R$15</f>
        <v>6652599801.67026</v>
      </c>
      <c r="S14" s="57" t="n">
        <f aca="false">(Supuestos!$C$196)*(1+Supuestos!$C$36)^4*Estacionalidad!G$13+Programas!S$14+Programas!S$15</f>
        <v>6652599801.67026</v>
      </c>
      <c r="T14" s="57" t="n">
        <f aca="false">(Supuestos!$C$196)*(1+Supuestos!$C$36)^4*Estacionalidad!H$13+Programas!T$14+Programas!T$15</f>
        <v>6652599801.67026</v>
      </c>
      <c r="U14" s="57" t="n">
        <f aca="false">(Supuestos!$C$196)*(1+Supuestos!$C$36)^4*Estacionalidad!I$13+Programas!U$14+Programas!U$15</f>
        <v>6652599801.67026</v>
      </c>
      <c r="V14" s="57" t="n">
        <f aca="false">(Supuestos!$C$196)*(1+Supuestos!$C$36)^4*Estacionalidad!J$13+Programas!V$14+Programas!V$15</f>
        <v>6652599801.67026</v>
      </c>
      <c r="W14" s="57" t="n">
        <f aca="false">(Supuestos!$C$196)*(1+Supuestos!$C$36)^4*Estacionalidad!K$13+Programas!W$14+Programas!W$15</f>
        <v>6652599801.67026</v>
      </c>
      <c r="X14" s="57" t="n">
        <f aca="false">(Supuestos!$C$196)*(1+Supuestos!$C$36)^4*Estacionalidad!L$13+Programas!X$14+Programas!X$15</f>
        <v>6652599801.67026</v>
      </c>
      <c r="Y14" s="57" t="n">
        <f aca="false">(Supuestos!$C$196)*(1+Supuestos!$C$36)^4*Estacionalidad!M$13+Programas!Y$14+Programas!Y$15</f>
        <v>6652599801.67026</v>
      </c>
      <c r="Z14" s="57" t="n">
        <f aca="false">(Supuestos!$C$196)*(1+Supuestos!$C$36)^4*Estacionalidad!N$13+Programas!Z$14+Programas!Z$15</f>
        <v>6417948593.55327</v>
      </c>
      <c r="AA14" s="57" t="n">
        <f aca="false">(Supuestos!$C$196)*(1+Supuestos!$C$36)^5*Estacionalidad!C$13+Programas!AA$14+Programas!AA$15</f>
        <v>6335582619.15873</v>
      </c>
      <c r="AB14" s="57" t="n">
        <f aca="false">(Supuestos!$C$196)*(1+Supuestos!$C$36)^5*Estacionalidad!D$13+Programas!AB$14+Programas!AB$15</f>
        <v>6413799688.53106</v>
      </c>
      <c r="AC14" s="57" t="n">
        <f aca="false">(Supuestos!$C$196)*(1+Supuestos!$C$36)^5*Estacionalidad!E$13+Programas!AC$14+Programas!AC$15</f>
        <v>6570233827.27572</v>
      </c>
      <c r="AD14" s="57" t="n">
        <f aca="false">(Supuestos!$C$196)*(1+Supuestos!$C$36)^5*Estacionalidad!F$13+Programas!AD$14+Programas!AD$15</f>
        <v>6570233827.27572</v>
      </c>
      <c r="AE14" s="57" t="n">
        <f aca="false">(Supuestos!$C$196)*(1+Supuestos!$C$36)^5*Estacionalidad!G$13+Programas!AE$14+Programas!AE$15</f>
        <v>6570233827.27572</v>
      </c>
      <c r="AF14" s="57" t="n">
        <f aca="false">(Supuestos!$C$196)*(1+Supuestos!$C$36)^5*Estacionalidad!H$13+Programas!AF$14+Programas!AF$15</f>
        <v>6570233827.27572</v>
      </c>
      <c r="AG14" s="57" t="n">
        <f aca="false">(Supuestos!$C$196)*(1+Supuestos!$C$36)^5*Estacionalidad!I$13+Programas!AG$14+Programas!AG$15</f>
        <v>6570233827.27572</v>
      </c>
      <c r="AH14" s="57" t="n">
        <f aca="false">(Supuestos!$C$196)*(1+Supuestos!$C$36)^5*Estacionalidad!J$13+Programas!AH$14+Programas!AH$15</f>
        <v>6570233827.27572</v>
      </c>
      <c r="AI14" s="57" t="n">
        <f aca="false">(Supuestos!$C$196)*(1+Supuestos!$C$36)^5*Estacionalidad!K$13+Programas!AI$14+Programas!AI$15</f>
        <v>6570233827.27572</v>
      </c>
      <c r="AJ14" s="57" t="n">
        <f aca="false">(Supuestos!$C$196)*(1+Supuestos!$C$36)^5*Estacionalidad!L$13+Programas!AJ$14+Programas!AJ$15</f>
        <v>6570233827.27572</v>
      </c>
      <c r="AK14" s="57" t="n">
        <f aca="false">(Supuestos!$C$196)*(1+Supuestos!$C$36)^5*Estacionalidad!M$13+Programas!AK$14+Programas!AK$15</f>
        <v>6570233827.27572</v>
      </c>
      <c r="AL14" s="57" t="n">
        <f aca="false">(Supuestos!$C$196)*(1+Supuestos!$C$36)^5*Estacionalidad!N$13+Programas!AL$14+Programas!AL$15</f>
        <v>6335582619.15873</v>
      </c>
      <c r="AM14" s="57" t="n">
        <f aca="false">(Supuestos!$C$196)*(1+Supuestos!$C$36)^6*Estacionalidad!C$13+Programas!AM$14+Programas!AM$15</f>
        <v>6335582619.15873</v>
      </c>
      <c r="AN14" s="57" t="n">
        <f aca="false">(Supuestos!$C$196)*(1+Supuestos!$C$36)^6*Estacionalidad!D$13+Programas!AN$14+Programas!AN$15</f>
        <v>6413799688.53106</v>
      </c>
      <c r="AO14" s="57" t="n">
        <f aca="false">(Supuestos!$C$196)*(1+Supuestos!$C$36)^6*Estacionalidad!E$13+Programas!AO$14+Programas!AO$15</f>
        <v>6570233827.27572</v>
      </c>
      <c r="AP14" s="57" t="n">
        <f aca="false">(Supuestos!$C$196)*(1+Supuestos!$C$36)^6*Estacionalidad!F$13+Programas!AP$14+Programas!AP$15</f>
        <v>6570233827.27572</v>
      </c>
      <c r="AQ14" s="57" t="n">
        <f aca="false">(Supuestos!$C$196)*(1+Supuestos!$C$36)^6*Estacionalidad!G$13+Programas!AQ$14+Programas!AQ$15</f>
        <v>6570233827.27572</v>
      </c>
      <c r="AR14" s="57" t="n">
        <f aca="false">(Supuestos!$C$196)*(1+Supuestos!$C$36)^6*Estacionalidad!H$13+Programas!AR$14+Programas!AR$15</f>
        <v>6570233827.27572</v>
      </c>
      <c r="AS14" s="57" t="n">
        <f aca="false">(Supuestos!$C$196)*(1+Supuestos!$C$36)^6*Estacionalidad!I$13+Programas!AS$14+Programas!AS$15</f>
        <v>6570233827.27572</v>
      </c>
      <c r="AT14" s="57" t="n">
        <f aca="false">(Supuestos!$C$196)*(1+Supuestos!$C$36)^6*Estacionalidad!J$13+Programas!AT$14+Programas!AT$15</f>
        <v>6570233827.27572</v>
      </c>
      <c r="AU14" s="57" t="n">
        <f aca="false">(Supuestos!$C$196)*(1+Supuestos!$C$36)^6*Estacionalidad!K$13+Programas!AU$14+Programas!AU$15</f>
        <v>6570233827.27572</v>
      </c>
      <c r="AV14" s="57" t="n">
        <f aca="false">(Supuestos!$C$196)*(1+Supuestos!$C$36)^6*Estacionalidad!L$13+Programas!AV$14+Programas!AV$15</f>
        <v>6570233827.27572</v>
      </c>
      <c r="AW14" s="57" t="n">
        <f aca="false">(Supuestos!$C$196)*(1+Supuestos!$C$36)^6*Estacionalidad!M$13+Programas!AW$14+Programas!AW$15</f>
        <v>6570233827.27572</v>
      </c>
      <c r="AX14" s="57" t="n">
        <f aca="false">(Supuestos!$C$196)*(1+Supuestos!$C$36)^6*Estacionalidad!N$13+Programas!AX$14+Programas!AX$15</f>
        <v>6335582619.15873</v>
      </c>
      <c r="AY14" s="57" t="n">
        <f aca="false">(Supuestos!$C$196)*(1+Supuestos!$C$36)^7*Estacionalidad!C$13+Programas!AY$14+Programas!AY$15</f>
        <v>6335582619.15873</v>
      </c>
      <c r="AZ14" s="57" t="n">
        <f aca="false">(Supuestos!$C$196)*(1+Supuestos!$C$36)^7*Estacionalidad!D$13+Programas!AZ$14+Programas!AZ$15</f>
        <v>6413799688.53106</v>
      </c>
      <c r="BA14" s="57" t="n">
        <f aca="false">(Supuestos!$C$196)*(1+Supuestos!$C$36)^7*Estacionalidad!E$13+Programas!BA$14+Programas!BA$15</f>
        <v>6570233827.27572</v>
      </c>
      <c r="BB14" s="57" t="n">
        <f aca="false">(Supuestos!$C$196)*(1+Supuestos!$C$36)^7*Estacionalidad!F$13+Programas!BB$14+Programas!BB$15</f>
        <v>6570233827.27572</v>
      </c>
      <c r="BC14" s="57" t="n">
        <f aca="false">(Supuestos!$C$196)*(1+Supuestos!$C$36)^7*Estacionalidad!G$13+Programas!BC$14+Programas!BC$15</f>
        <v>6570233827.27572</v>
      </c>
      <c r="BD14" s="57" t="n">
        <f aca="false">(Supuestos!$C$196)*(1+Supuestos!$C$36)^7*Estacionalidad!H$13+Programas!BD$14+Programas!BD$15</f>
        <v>6570233827.27572</v>
      </c>
      <c r="BE14" s="57" t="n">
        <f aca="false">(Supuestos!$C$196)*(1+Supuestos!$C$36)^7*Estacionalidad!I$13+Programas!BE$14+Programas!BE$15</f>
        <v>6570233827.27572</v>
      </c>
      <c r="BF14" s="57" t="n">
        <f aca="false">(Supuestos!$C$196)*(1+Supuestos!$C$36)^7*Estacionalidad!J$13+Programas!BF$14+Programas!BF$15</f>
        <v>6570233827.27572</v>
      </c>
      <c r="BG14" s="57" t="n">
        <f aca="false">(Supuestos!$C$196)*(1+Supuestos!$C$36)^7*Estacionalidad!K$13+Programas!BG$14+Programas!BG$15</f>
        <v>6570233827.27572</v>
      </c>
      <c r="BH14" s="57" t="n">
        <f aca="false">(Supuestos!$C$196)*(1+Supuestos!$C$36)^7*Estacionalidad!L$13+Programas!BH$14+Programas!BH$15</f>
        <v>6570233827.27572</v>
      </c>
      <c r="BI14" s="57" t="n">
        <f aca="false">(Supuestos!$C$196)*(1+Supuestos!$C$36)^7*Estacionalidad!M$13+Programas!BI$14+Programas!BI$15</f>
        <v>6570233827.27572</v>
      </c>
      <c r="BJ14" s="57" t="n">
        <f aca="false">(Supuestos!$C$196)*(1+Supuestos!$C$36)^7*Estacionalidad!N$13+Programas!BJ$14+Programas!BJ$15</f>
        <v>6335582619.15873</v>
      </c>
      <c r="BK14" s="57" t="n">
        <f aca="false">(Supuestos!$C$196)*(1+Supuestos!$C$36)^8*Estacionalidad!C$13+Programas!BK$14+Programas!BK$15</f>
        <v>6335582619.15873</v>
      </c>
      <c r="BL14" s="57" t="n">
        <f aca="false">(Supuestos!$C$196)*(1+Supuestos!$C$36)^8*Estacionalidad!D$13+Programas!BL$14+Programas!BL$15</f>
        <v>6413799688.53106</v>
      </c>
      <c r="BM14" s="57" t="n">
        <f aca="false">(Supuestos!$C$196)*(1+Supuestos!$C$36)^8*Estacionalidad!E$13+Programas!BM$14+Programas!BM$15</f>
        <v>6570233827.27572</v>
      </c>
      <c r="BN14" s="57" t="n">
        <f aca="false">(Supuestos!$C$196)*(1+Supuestos!$C$36)^8*Estacionalidad!F$13+Programas!BN$14+Programas!BN$15</f>
        <v>6570233827.27572</v>
      </c>
      <c r="BO14" s="57" t="n">
        <f aca="false">(Supuestos!$C$196)*(1+Supuestos!$C$36)^8*Estacionalidad!G$13+Programas!BO$14+Programas!BO$15</f>
        <v>6570233827.27572</v>
      </c>
      <c r="BP14" s="57" t="n">
        <f aca="false">(Supuestos!$C$196)*(1+Supuestos!$C$36)^8*Estacionalidad!H$13+Programas!BP$14+Programas!BP$15</f>
        <v>6570233827.27572</v>
      </c>
      <c r="BQ14" s="57" t="n">
        <f aca="false">(Supuestos!$C$196)*(1+Supuestos!$C$36)^8*Estacionalidad!I$13+Programas!BQ$14+Programas!BQ$15</f>
        <v>6570233827.27572</v>
      </c>
      <c r="BR14" s="57" t="n">
        <f aca="false">(Supuestos!$C$196)*(1+Supuestos!$C$36)^8*Estacionalidad!J$13+Programas!BR$14+Programas!BR$15</f>
        <v>6570233827.27572</v>
      </c>
      <c r="BS14" s="57" t="n">
        <f aca="false">(Supuestos!$C$196)*(1+Supuestos!$C$36)^8*Estacionalidad!K$13+Programas!BS$14+Programas!BS$15</f>
        <v>6570233827.27572</v>
      </c>
      <c r="BT14" s="57" t="n">
        <f aca="false">(Supuestos!$C$196)*(1+Supuestos!$C$36)^8*Estacionalidad!L$13+Programas!BT$14+Programas!BT$15</f>
        <v>6570233827.27572</v>
      </c>
      <c r="BU14" s="57" t="n">
        <f aca="false">(Supuestos!$C$196)*(1+Supuestos!$C$36)^8*Estacionalidad!M$13+Programas!BU$14+Programas!BU$15</f>
        <v>6570233827.27572</v>
      </c>
      <c r="BV14" s="57" t="n">
        <f aca="false">(Supuestos!$C$196)*(1+Supuestos!$C$36)^8*Estacionalidad!N$13+Programas!BV$14+Programas!BV$15</f>
        <v>6335582619.15873</v>
      </c>
      <c r="BW14" s="57" t="n">
        <f aca="false">(Supuestos!$C$196)*(1+Supuestos!$C$36)^9*Estacionalidad!C$13+Programas!BW$14+Programas!BW$15</f>
        <v>6335582619.15873</v>
      </c>
      <c r="BX14" s="57" t="n">
        <f aca="false">(Supuestos!$C$196)*(1+Supuestos!$C$36)^9*Estacionalidad!D$13+Programas!BX$14+Programas!BX$15</f>
        <v>6413799688.53106</v>
      </c>
      <c r="BY14" s="57" t="n">
        <f aca="false">(Supuestos!$C$196)*(1+Supuestos!$C$36)^9*Estacionalidad!E$13+Programas!BY$14+Programas!BY$15</f>
        <v>6570233827.27572</v>
      </c>
      <c r="BZ14" s="57" t="n">
        <f aca="false">(Supuestos!$C$196)*(1+Supuestos!$C$36)^9*Estacionalidad!F$13+Programas!BZ$14+Programas!BZ$15</f>
        <v>6570233827.27572</v>
      </c>
      <c r="CA14" s="57" t="n">
        <f aca="false">(Supuestos!$C$196)*(1+Supuestos!$C$36)^9*Estacionalidad!G$13+Programas!CA$14+Programas!CA$15</f>
        <v>6570233827.27572</v>
      </c>
      <c r="CB14" s="57" t="n">
        <f aca="false">(Supuestos!$C$196)*(1+Supuestos!$C$36)^9*Estacionalidad!H$13+Programas!CB$14+Programas!CB$15</f>
        <v>6570233827.27572</v>
      </c>
      <c r="CC14" s="57" t="n">
        <f aca="false">(Supuestos!$C$196)*(1+Supuestos!$C$36)^9*Estacionalidad!I$13+Programas!CC$14+Programas!CC$15</f>
        <v>6570233827.27572</v>
      </c>
      <c r="CD14" s="57" t="n">
        <f aca="false">(Supuestos!$C$196)*(1+Supuestos!$C$36)^9*Estacionalidad!J$13+Programas!CD$14+Programas!CD$15</f>
        <v>6570233827.27572</v>
      </c>
      <c r="CE14" s="57" t="n">
        <f aca="false">(Supuestos!$C$196)*(1+Supuestos!$C$36)^9*Estacionalidad!K$13+Programas!CE$14+Programas!CE$15</f>
        <v>6570233827.27572</v>
      </c>
      <c r="CF14" s="57" t="n">
        <f aca="false">(Supuestos!$C$196)*(1+Supuestos!$C$36)^9*Estacionalidad!L$13+Programas!CF$14+Programas!CF$15</f>
        <v>6570233827.27572</v>
      </c>
      <c r="CG14" s="57" t="n">
        <f aca="false">(Supuestos!$C$196)*(1+Supuestos!$C$36)^9*Estacionalidad!M$13+Programas!CG$14+Programas!CG$15</f>
        <v>6570233827.27572</v>
      </c>
      <c r="CH14" s="57" t="n">
        <f aca="false">(Supuestos!$C$196)*(1+Supuestos!$C$36)^9*Estacionalidad!N$13+Programas!CH$14+Programas!CH$15</f>
        <v>6335582619.15873</v>
      </c>
      <c r="CI14" s="57" t="n">
        <f aca="false">(Supuestos!$C$196)*(1+Supuestos!$C$36)^10*Estacionalidad!C$13+Programas!CI$14+Programas!CI$15</f>
        <v>6335582619.15873</v>
      </c>
      <c r="CJ14" s="57" t="n">
        <f aca="false">(Supuestos!$C$196)*(1+Supuestos!$C$36)^10*Estacionalidad!D$13+Programas!CJ$14+Programas!CJ$15</f>
        <v>6413799688.53106</v>
      </c>
      <c r="CK14" s="57" t="n">
        <f aca="false">(Supuestos!$C$196)*(1+Supuestos!$C$36)^10*Estacionalidad!E$13+Programas!CK$14+Programas!CK$15</f>
        <v>6570233827.27572</v>
      </c>
      <c r="CL14" s="57" t="n">
        <f aca="false">(Supuestos!$C$196)*(1+Supuestos!$C$36)^10*Estacionalidad!F$13+Programas!CL$14+Programas!CL$15</f>
        <v>6570233827.27572</v>
      </c>
      <c r="CM14" s="57" t="n">
        <f aca="false">(Supuestos!$C$196)*(1+Supuestos!$C$36)^10*Estacionalidad!G$13+Programas!CM$14+Programas!CM$15</f>
        <v>6570233827.27572</v>
      </c>
      <c r="CN14" s="57" t="n">
        <f aca="false">(Supuestos!$C$196)*(1+Supuestos!$C$36)^10*Estacionalidad!H$13+Programas!CN$14+Programas!CN$15</f>
        <v>6570233827.27572</v>
      </c>
      <c r="CO14" s="57" t="n">
        <f aca="false">(Supuestos!$C$196)*(1+Supuestos!$C$36)^10*Estacionalidad!I$13+Programas!CO$14+Programas!CO$15</f>
        <v>6570233827.27572</v>
      </c>
      <c r="CP14" s="57" t="n">
        <f aca="false">(Supuestos!$C$196)*(1+Supuestos!$C$36)^10*Estacionalidad!J$13+Programas!CP$14+Programas!CP$15</f>
        <v>6570233827.27572</v>
      </c>
      <c r="CQ14" s="57" t="n">
        <f aca="false">(Supuestos!$C$196)*(1+Supuestos!$C$36)^10*Estacionalidad!K$13+Programas!CQ$14+Programas!CQ$15</f>
        <v>6570233827.27572</v>
      </c>
      <c r="CR14" s="57" t="n">
        <f aca="false">(Supuestos!$C$196)*(1+Supuestos!$C$36)^10*Estacionalidad!L$13+Programas!CR$14+Programas!CR$15</f>
        <v>6570233827.27572</v>
      </c>
      <c r="CS14" s="57" t="n">
        <f aca="false">(Supuestos!$C$196)*(1+Supuestos!$C$36)^10*Estacionalidad!M$13+Programas!CS$14+Programas!CS$15</f>
        <v>6570233827.27572</v>
      </c>
      <c r="CT14" s="57" t="n">
        <f aca="false">(Supuestos!$C$196)*(1+Supuestos!$C$36)^10*Estacionalidad!N$13+Programas!CT$14+Programas!CT$15</f>
        <v>6335582619.15873</v>
      </c>
    </row>
    <row r="15" customFormat="false" ht="15" hidden="false" customHeight="true" outlineLevel="0" collapsed="false">
      <c r="B15" s="19" t="s">
        <v>341</v>
      </c>
      <c r="C15" s="57" t="n">
        <f aca="false">(Supuestos!$C$197)*(1+Supuestos!$C$36)^3*Estacionalidad!C$13</f>
        <v>479073633.96096</v>
      </c>
      <c r="D15" s="57" t="n">
        <f aca="false">(Supuestos!$C$197)*(1+Supuestos!$C$36)^3*Estacionalidad!D$13</f>
        <v>484988123.26912</v>
      </c>
      <c r="E15" s="57" t="n">
        <f aca="false">(Supuestos!$C$197)*(1+Supuestos!$C$36)^3*Estacionalidad!E$13</f>
        <v>496817101.88544</v>
      </c>
      <c r="F15" s="57" t="n">
        <f aca="false">(Supuestos!$C$197)*(1+Supuestos!$C$36)^3*Estacionalidad!F$13</f>
        <v>496817101.88544</v>
      </c>
      <c r="G15" s="57" t="n">
        <f aca="false">(Supuestos!$C$197)*(1+Supuestos!$C$36)^3*Estacionalidad!G$13</f>
        <v>496817101.88544</v>
      </c>
      <c r="H15" s="57" t="n">
        <f aca="false">(Supuestos!$C$197)*(1+Supuestos!$C$36)^3*Estacionalidad!H$13</f>
        <v>496817101.88544</v>
      </c>
      <c r="I15" s="57" t="n">
        <f aca="false">(Supuestos!$C$197)*(1+Supuestos!$C$36)^3*Estacionalidad!I$13</f>
        <v>496817101.88544</v>
      </c>
      <c r="J15" s="57" t="n">
        <f aca="false">(Supuestos!$C$197)*(1+Supuestos!$C$36)^3*Estacionalidad!J$13</f>
        <v>496817101.88544</v>
      </c>
      <c r="K15" s="57" t="n">
        <f aca="false">(Supuestos!$C$197)*(1+Supuestos!$C$36)^3*Estacionalidad!K$13</f>
        <v>496817101.88544</v>
      </c>
      <c r="L15" s="57" t="n">
        <f aca="false">(Supuestos!$C$197)*(1+Supuestos!$C$36)^3*Estacionalidad!L$13</f>
        <v>496817101.88544</v>
      </c>
      <c r="M15" s="57" t="n">
        <f aca="false">(Supuestos!$C$197)*(1+Supuestos!$C$36)^3*Estacionalidad!M$13</f>
        <v>496817101.88544</v>
      </c>
      <c r="N15" s="57" t="n">
        <f aca="false">(Supuestos!$C$197)*(1+Supuestos!$C$36)^3*Estacionalidad!N$13</f>
        <v>479073633.96096</v>
      </c>
      <c r="O15" s="57" t="n">
        <f aca="false">(Supuestos!$C$197)*(1+Supuestos!$C$36)^4*Estacionalidad!C$13</f>
        <v>479073633.96096</v>
      </c>
      <c r="P15" s="57" t="n">
        <f aca="false">(Supuestos!$C$197)*(1+Supuestos!$C$36)^4*Estacionalidad!D$13</f>
        <v>484988123.26912</v>
      </c>
      <c r="Q15" s="57" t="n">
        <f aca="false">(Supuestos!$C$197)*(1+Supuestos!$C$36)^4*Estacionalidad!E$13</f>
        <v>496817101.88544</v>
      </c>
      <c r="R15" s="57" t="n">
        <f aca="false">(Supuestos!$C$197)*(1+Supuestos!$C$36)^4*Estacionalidad!F$13</f>
        <v>496817101.88544</v>
      </c>
      <c r="S15" s="57" t="n">
        <f aca="false">(Supuestos!$C$197)*(1+Supuestos!$C$36)^4*Estacionalidad!G$13</f>
        <v>496817101.88544</v>
      </c>
      <c r="T15" s="57" t="n">
        <f aca="false">(Supuestos!$C$197)*(1+Supuestos!$C$36)^4*Estacionalidad!H$13</f>
        <v>496817101.88544</v>
      </c>
      <c r="U15" s="57" t="n">
        <f aca="false">(Supuestos!$C$197)*(1+Supuestos!$C$36)^4*Estacionalidad!I$13</f>
        <v>496817101.88544</v>
      </c>
      <c r="V15" s="57" t="n">
        <f aca="false">(Supuestos!$C$197)*(1+Supuestos!$C$36)^4*Estacionalidad!J$13</f>
        <v>496817101.88544</v>
      </c>
      <c r="W15" s="57" t="n">
        <f aca="false">(Supuestos!$C$197)*(1+Supuestos!$C$36)^4*Estacionalidad!K$13</f>
        <v>496817101.88544</v>
      </c>
      <c r="X15" s="57" t="n">
        <f aca="false">(Supuestos!$C$197)*(1+Supuestos!$C$36)^4*Estacionalidad!L$13</f>
        <v>496817101.88544</v>
      </c>
      <c r="Y15" s="57" t="n">
        <f aca="false">(Supuestos!$C$197)*(1+Supuestos!$C$36)^4*Estacionalidad!M$13</f>
        <v>496817101.88544</v>
      </c>
      <c r="Z15" s="57" t="n">
        <f aca="false">(Supuestos!$C$197)*(1+Supuestos!$C$36)^4*Estacionalidad!N$13</f>
        <v>479073633.96096</v>
      </c>
      <c r="AA15" s="57" t="n">
        <f aca="false">(Supuestos!$C$197)*(1+Supuestos!$C$36)^5*Estacionalidad!C$13</f>
        <v>479073633.96096</v>
      </c>
      <c r="AB15" s="57" t="n">
        <f aca="false">(Supuestos!$C$197)*(1+Supuestos!$C$36)^5*Estacionalidad!D$13</f>
        <v>484988123.26912</v>
      </c>
      <c r="AC15" s="57" t="n">
        <f aca="false">(Supuestos!$C$197)*(1+Supuestos!$C$36)^5*Estacionalidad!E$13</f>
        <v>496817101.88544</v>
      </c>
      <c r="AD15" s="57" t="n">
        <f aca="false">(Supuestos!$C$197)*(1+Supuestos!$C$36)^5*Estacionalidad!F$13</f>
        <v>496817101.88544</v>
      </c>
      <c r="AE15" s="57" t="n">
        <f aca="false">(Supuestos!$C$197)*(1+Supuestos!$C$36)^5*Estacionalidad!G$13</f>
        <v>496817101.88544</v>
      </c>
      <c r="AF15" s="57" t="n">
        <f aca="false">(Supuestos!$C$197)*(1+Supuestos!$C$36)^5*Estacionalidad!H$13</f>
        <v>496817101.88544</v>
      </c>
      <c r="AG15" s="57" t="n">
        <f aca="false">(Supuestos!$C$197)*(1+Supuestos!$C$36)^5*Estacionalidad!I$13</f>
        <v>496817101.88544</v>
      </c>
      <c r="AH15" s="57" t="n">
        <f aca="false">(Supuestos!$C$197)*(1+Supuestos!$C$36)^5*Estacionalidad!J$13</f>
        <v>496817101.88544</v>
      </c>
      <c r="AI15" s="57" t="n">
        <f aca="false">(Supuestos!$C$197)*(1+Supuestos!$C$36)^5*Estacionalidad!K$13</f>
        <v>496817101.88544</v>
      </c>
      <c r="AJ15" s="57" t="n">
        <f aca="false">(Supuestos!$C$197)*(1+Supuestos!$C$36)^5*Estacionalidad!L$13</f>
        <v>496817101.88544</v>
      </c>
      <c r="AK15" s="57" t="n">
        <f aca="false">(Supuestos!$C$197)*(1+Supuestos!$C$36)^5*Estacionalidad!M$13</f>
        <v>496817101.88544</v>
      </c>
      <c r="AL15" s="57" t="n">
        <f aca="false">(Supuestos!$C$197)*(1+Supuestos!$C$36)^5*Estacionalidad!N$13</f>
        <v>479073633.96096</v>
      </c>
      <c r="AM15" s="57" t="n">
        <f aca="false">(Supuestos!$C$197)*(1+Supuestos!$C$36)^6*Estacionalidad!C$13</f>
        <v>479073633.96096</v>
      </c>
      <c r="AN15" s="57" t="n">
        <f aca="false">(Supuestos!$C$197)*(1+Supuestos!$C$36)^6*Estacionalidad!D$13</f>
        <v>484988123.26912</v>
      </c>
      <c r="AO15" s="57" t="n">
        <f aca="false">(Supuestos!$C$197)*(1+Supuestos!$C$36)^6*Estacionalidad!E$13</f>
        <v>496817101.88544</v>
      </c>
      <c r="AP15" s="57" t="n">
        <f aca="false">(Supuestos!$C$197)*(1+Supuestos!$C$36)^6*Estacionalidad!F$13</f>
        <v>496817101.88544</v>
      </c>
      <c r="AQ15" s="57" t="n">
        <f aca="false">(Supuestos!$C$197)*(1+Supuestos!$C$36)^6*Estacionalidad!G$13</f>
        <v>496817101.88544</v>
      </c>
      <c r="AR15" s="57" t="n">
        <f aca="false">(Supuestos!$C$197)*(1+Supuestos!$C$36)^6*Estacionalidad!H$13</f>
        <v>496817101.88544</v>
      </c>
      <c r="AS15" s="57" t="n">
        <f aca="false">(Supuestos!$C$197)*(1+Supuestos!$C$36)^6*Estacionalidad!I$13</f>
        <v>496817101.88544</v>
      </c>
      <c r="AT15" s="57" t="n">
        <f aca="false">(Supuestos!$C$197)*(1+Supuestos!$C$36)^6*Estacionalidad!J$13</f>
        <v>496817101.88544</v>
      </c>
      <c r="AU15" s="57" t="n">
        <f aca="false">(Supuestos!$C$197)*(1+Supuestos!$C$36)^6*Estacionalidad!K$13</f>
        <v>496817101.88544</v>
      </c>
      <c r="AV15" s="57" t="n">
        <f aca="false">(Supuestos!$C$197)*(1+Supuestos!$C$36)^6*Estacionalidad!L$13</f>
        <v>496817101.88544</v>
      </c>
      <c r="AW15" s="57" t="n">
        <f aca="false">(Supuestos!$C$197)*(1+Supuestos!$C$36)^6*Estacionalidad!M$13</f>
        <v>496817101.88544</v>
      </c>
      <c r="AX15" s="57" t="n">
        <f aca="false">(Supuestos!$C$197)*(1+Supuestos!$C$36)^6*Estacionalidad!N$13</f>
        <v>479073633.96096</v>
      </c>
      <c r="AY15" s="57" t="n">
        <f aca="false">(Supuestos!$C$197)*(1+Supuestos!$C$36)^7*Estacionalidad!C$13</f>
        <v>479073633.96096</v>
      </c>
      <c r="AZ15" s="57" t="n">
        <f aca="false">(Supuestos!$C$197)*(1+Supuestos!$C$36)^7*Estacionalidad!D$13</f>
        <v>484988123.26912</v>
      </c>
      <c r="BA15" s="57" t="n">
        <f aca="false">(Supuestos!$C$197)*(1+Supuestos!$C$36)^7*Estacionalidad!E$13</f>
        <v>496817101.88544</v>
      </c>
      <c r="BB15" s="57" t="n">
        <f aca="false">(Supuestos!$C$197)*(1+Supuestos!$C$36)^7*Estacionalidad!F$13</f>
        <v>496817101.88544</v>
      </c>
      <c r="BC15" s="57" t="n">
        <f aca="false">(Supuestos!$C$197)*(1+Supuestos!$C$36)^7*Estacionalidad!G$13</f>
        <v>496817101.88544</v>
      </c>
      <c r="BD15" s="57" t="n">
        <f aca="false">(Supuestos!$C$197)*(1+Supuestos!$C$36)^7*Estacionalidad!H$13</f>
        <v>496817101.88544</v>
      </c>
      <c r="BE15" s="57" t="n">
        <f aca="false">(Supuestos!$C$197)*(1+Supuestos!$C$36)^7*Estacionalidad!I$13</f>
        <v>496817101.88544</v>
      </c>
      <c r="BF15" s="57" t="n">
        <f aca="false">(Supuestos!$C$197)*(1+Supuestos!$C$36)^7*Estacionalidad!J$13</f>
        <v>496817101.88544</v>
      </c>
      <c r="BG15" s="57" t="n">
        <f aca="false">(Supuestos!$C$197)*(1+Supuestos!$C$36)^7*Estacionalidad!K$13</f>
        <v>496817101.88544</v>
      </c>
      <c r="BH15" s="57" t="n">
        <f aca="false">(Supuestos!$C$197)*(1+Supuestos!$C$36)^7*Estacionalidad!L$13</f>
        <v>496817101.88544</v>
      </c>
      <c r="BI15" s="57" t="n">
        <f aca="false">(Supuestos!$C$197)*(1+Supuestos!$C$36)^7*Estacionalidad!M$13</f>
        <v>496817101.88544</v>
      </c>
      <c r="BJ15" s="57" t="n">
        <f aca="false">(Supuestos!$C$197)*(1+Supuestos!$C$36)^7*Estacionalidad!N$13</f>
        <v>479073633.96096</v>
      </c>
      <c r="BK15" s="57" t="n">
        <f aca="false">(Supuestos!$C$197)*(1+Supuestos!$C$36)^8*Estacionalidad!C$13</f>
        <v>479073633.96096</v>
      </c>
      <c r="BL15" s="57" t="n">
        <f aca="false">(Supuestos!$C$197)*(1+Supuestos!$C$36)^8*Estacionalidad!D$13</f>
        <v>484988123.26912</v>
      </c>
      <c r="BM15" s="57" t="n">
        <f aca="false">(Supuestos!$C$197)*(1+Supuestos!$C$36)^8*Estacionalidad!E$13</f>
        <v>496817101.88544</v>
      </c>
      <c r="BN15" s="57" t="n">
        <f aca="false">(Supuestos!$C$197)*(1+Supuestos!$C$36)^8*Estacionalidad!F$13</f>
        <v>496817101.88544</v>
      </c>
      <c r="BO15" s="57" t="n">
        <f aca="false">(Supuestos!$C$197)*(1+Supuestos!$C$36)^8*Estacionalidad!G$13</f>
        <v>496817101.88544</v>
      </c>
      <c r="BP15" s="57" t="n">
        <f aca="false">(Supuestos!$C$197)*(1+Supuestos!$C$36)^8*Estacionalidad!H$13</f>
        <v>496817101.88544</v>
      </c>
      <c r="BQ15" s="57" t="n">
        <f aca="false">(Supuestos!$C$197)*(1+Supuestos!$C$36)^8*Estacionalidad!I$13</f>
        <v>496817101.88544</v>
      </c>
      <c r="BR15" s="57" t="n">
        <f aca="false">(Supuestos!$C$197)*(1+Supuestos!$C$36)^8*Estacionalidad!J$13</f>
        <v>496817101.88544</v>
      </c>
      <c r="BS15" s="57" t="n">
        <f aca="false">(Supuestos!$C$197)*(1+Supuestos!$C$36)^8*Estacionalidad!K$13</f>
        <v>496817101.88544</v>
      </c>
      <c r="BT15" s="57" t="n">
        <f aca="false">(Supuestos!$C$197)*(1+Supuestos!$C$36)^8*Estacionalidad!L$13</f>
        <v>496817101.88544</v>
      </c>
      <c r="BU15" s="57" t="n">
        <f aca="false">(Supuestos!$C$197)*(1+Supuestos!$C$36)^8*Estacionalidad!M$13</f>
        <v>496817101.88544</v>
      </c>
      <c r="BV15" s="57" t="n">
        <f aca="false">(Supuestos!$C$197)*(1+Supuestos!$C$36)^8*Estacionalidad!N$13</f>
        <v>479073633.96096</v>
      </c>
      <c r="BW15" s="57" t="n">
        <f aca="false">(Supuestos!$C$197)*(1+Supuestos!$C$36)^9*Estacionalidad!C$13</f>
        <v>479073633.96096</v>
      </c>
      <c r="BX15" s="57" t="n">
        <f aca="false">(Supuestos!$C$197)*(1+Supuestos!$C$36)^9*Estacionalidad!D$13</f>
        <v>484988123.26912</v>
      </c>
      <c r="BY15" s="57" t="n">
        <f aca="false">(Supuestos!$C$197)*(1+Supuestos!$C$36)^9*Estacionalidad!E$13</f>
        <v>496817101.88544</v>
      </c>
      <c r="BZ15" s="57" t="n">
        <f aca="false">(Supuestos!$C$197)*(1+Supuestos!$C$36)^9*Estacionalidad!F$13</f>
        <v>496817101.88544</v>
      </c>
      <c r="CA15" s="57" t="n">
        <f aca="false">(Supuestos!$C$197)*(1+Supuestos!$C$36)^9*Estacionalidad!G$13</f>
        <v>496817101.88544</v>
      </c>
      <c r="CB15" s="57" t="n">
        <f aca="false">(Supuestos!$C$197)*(1+Supuestos!$C$36)^9*Estacionalidad!H$13</f>
        <v>496817101.88544</v>
      </c>
      <c r="CC15" s="57" t="n">
        <f aca="false">(Supuestos!$C$197)*(1+Supuestos!$C$36)^9*Estacionalidad!I$13</f>
        <v>496817101.88544</v>
      </c>
      <c r="CD15" s="57" t="n">
        <f aca="false">(Supuestos!$C$197)*(1+Supuestos!$C$36)^9*Estacionalidad!J$13</f>
        <v>496817101.88544</v>
      </c>
      <c r="CE15" s="57" t="n">
        <f aca="false">(Supuestos!$C$197)*(1+Supuestos!$C$36)^9*Estacionalidad!K$13</f>
        <v>496817101.88544</v>
      </c>
      <c r="CF15" s="57" t="n">
        <f aca="false">(Supuestos!$C$197)*(1+Supuestos!$C$36)^9*Estacionalidad!L$13</f>
        <v>496817101.88544</v>
      </c>
      <c r="CG15" s="57" t="n">
        <f aca="false">(Supuestos!$C$197)*(1+Supuestos!$C$36)^9*Estacionalidad!M$13</f>
        <v>496817101.88544</v>
      </c>
      <c r="CH15" s="57" t="n">
        <f aca="false">(Supuestos!$C$197)*(1+Supuestos!$C$36)^9*Estacionalidad!N$13</f>
        <v>479073633.96096</v>
      </c>
      <c r="CI15" s="57" t="n">
        <f aca="false">(Supuestos!$C$197)*(1+Supuestos!$C$36)^10*Estacionalidad!C$13</f>
        <v>479073633.96096</v>
      </c>
      <c r="CJ15" s="57" t="n">
        <f aca="false">(Supuestos!$C$197)*(1+Supuestos!$C$36)^10*Estacionalidad!D$13</f>
        <v>484988123.26912</v>
      </c>
      <c r="CK15" s="57" t="n">
        <f aca="false">(Supuestos!$C$197)*(1+Supuestos!$C$36)^10*Estacionalidad!E$13</f>
        <v>496817101.88544</v>
      </c>
      <c r="CL15" s="57" t="n">
        <f aca="false">(Supuestos!$C$197)*(1+Supuestos!$C$36)^10*Estacionalidad!F$13</f>
        <v>496817101.88544</v>
      </c>
      <c r="CM15" s="57" t="n">
        <f aca="false">(Supuestos!$C$197)*(1+Supuestos!$C$36)^10*Estacionalidad!G$13</f>
        <v>496817101.88544</v>
      </c>
      <c r="CN15" s="57" t="n">
        <f aca="false">(Supuestos!$C$197)*(1+Supuestos!$C$36)^10*Estacionalidad!H$13</f>
        <v>496817101.88544</v>
      </c>
      <c r="CO15" s="57" t="n">
        <f aca="false">(Supuestos!$C$197)*(1+Supuestos!$C$36)^10*Estacionalidad!I$13</f>
        <v>496817101.88544</v>
      </c>
      <c r="CP15" s="57" t="n">
        <f aca="false">(Supuestos!$C$197)*(1+Supuestos!$C$36)^10*Estacionalidad!J$13</f>
        <v>496817101.88544</v>
      </c>
      <c r="CQ15" s="57" t="n">
        <f aca="false">(Supuestos!$C$197)*(1+Supuestos!$C$36)^10*Estacionalidad!K$13</f>
        <v>496817101.88544</v>
      </c>
      <c r="CR15" s="57" t="n">
        <f aca="false">(Supuestos!$C$197)*(1+Supuestos!$C$36)^10*Estacionalidad!L$13</f>
        <v>496817101.88544</v>
      </c>
      <c r="CS15" s="57" t="n">
        <f aca="false">(Supuestos!$C$197)*(1+Supuestos!$C$36)^10*Estacionalidad!M$13</f>
        <v>496817101.88544</v>
      </c>
      <c r="CT15" s="57" t="n">
        <f aca="false">(Supuestos!$C$197)*(1+Supuestos!$C$36)^10*Estacionalidad!N$13</f>
        <v>479073633.96096</v>
      </c>
    </row>
    <row r="16" customFormat="false" ht="15" hidden="false" customHeight="true" outlineLevel="0" collapsed="false">
      <c r="B16" s="19" t="s">
        <v>342</v>
      </c>
      <c r="C16" s="57" t="n">
        <f aca="false">(Supuestos!$C$198)*(1+Supuestos!$C$36)^3*Estacionalidad!C$13+Programas!C$11+Programas!C$12</f>
        <v>1162893622.24092</v>
      </c>
      <c r="D16" s="57" t="n">
        <f aca="false">(Supuestos!$C$198)*(1+Supuestos!$C$36)^3*Estacionalidad!D$13+Programas!D$11+Programas!D$12</f>
        <v>1176879963.25624</v>
      </c>
      <c r="E16" s="57" t="n">
        <f aca="false">(Supuestos!$C$198)*(1+Supuestos!$C$36)^3*Estacionalidad!E$13+Programas!E$11+Programas!E$12</f>
        <v>1204852645.28688</v>
      </c>
      <c r="F16" s="57" t="n">
        <f aca="false">(Supuestos!$C$198)*(1+Supuestos!$C$36)^3*Estacionalidad!F$13+Programas!F$11+Programas!F$12</f>
        <v>1204852645.28688</v>
      </c>
      <c r="G16" s="57" t="n">
        <f aca="false">(Supuestos!$C$198)*(1+Supuestos!$C$36)^3*Estacionalidad!G$13+Programas!G$11+Programas!G$12</f>
        <v>1204852645.28688</v>
      </c>
      <c r="H16" s="57" t="n">
        <f aca="false">(Supuestos!$C$198)*(1+Supuestos!$C$36)^3*Estacionalidad!H$13+Programas!H$11+Programas!H$12</f>
        <v>1204852645.28688</v>
      </c>
      <c r="I16" s="57" t="n">
        <f aca="false">(Supuestos!$C$198)*(1+Supuestos!$C$36)^3*Estacionalidad!I$13+Programas!I$11+Programas!I$12</f>
        <v>1204852645.28688</v>
      </c>
      <c r="J16" s="57" t="n">
        <f aca="false">(Supuestos!$C$198)*(1+Supuestos!$C$36)^3*Estacionalidad!J$13+Programas!J$11+Programas!J$12</f>
        <v>1204852645.28688</v>
      </c>
      <c r="K16" s="57" t="n">
        <f aca="false">(Supuestos!$C$198)*(1+Supuestos!$C$36)^3*Estacionalidad!K$13+Programas!K$11+Programas!K$12</f>
        <v>1204852645.28688</v>
      </c>
      <c r="L16" s="57" t="n">
        <f aca="false">(Supuestos!$C$198)*(1+Supuestos!$C$36)^3*Estacionalidad!L$13+Programas!L$11+Programas!L$12</f>
        <v>1204852645.28688</v>
      </c>
      <c r="M16" s="57" t="n">
        <f aca="false">(Supuestos!$C$198)*(1+Supuestos!$C$36)^3*Estacionalidad!M$13+Programas!M$11+Programas!M$12</f>
        <v>1204852645.28688</v>
      </c>
      <c r="N16" s="57" t="n">
        <f aca="false">(Supuestos!$C$198)*(1+Supuestos!$C$36)^3*Estacionalidad!N$13+Programas!N$11+Programas!N$12</f>
        <v>1334893622.24092</v>
      </c>
      <c r="O16" s="57" t="n">
        <f aca="false">(Supuestos!$C$198)*(1+Supuestos!$C$36)^4*Estacionalidad!C$13+Programas!O$11+Programas!O$12</f>
        <v>1364893622.24092</v>
      </c>
      <c r="P16" s="57" t="n">
        <f aca="false">(Supuestos!$C$198)*(1+Supuestos!$C$36)^4*Estacionalidad!D$13+Programas!P$11+Programas!P$12</f>
        <v>1378879963.25624</v>
      </c>
      <c r="Q16" s="57" t="n">
        <f aca="false">(Supuestos!$C$198)*(1+Supuestos!$C$36)^4*Estacionalidad!E$13+Programas!Q$11+Programas!Q$12</f>
        <v>1406852645.28688</v>
      </c>
      <c r="R16" s="57" t="n">
        <f aca="false">(Supuestos!$C$198)*(1+Supuestos!$C$36)^4*Estacionalidad!F$13+Programas!R$11+Programas!R$12</f>
        <v>1406852645.28688</v>
      </c>
      <c r="S16" s="57" t="n">
        <f aca="false">(Supuestos!$C$198)*(1+Supuestos!$C$36)^4*Estacionalidad!G$13+Programas!S$11+Programas!S$12</f>
        <v>1406852645.28688</v>
      </c>
      <c r="T16" s="57" t="n">
        <f aca="false">(Supuestos!$C$198)*(1+Supuestos!$C$36)^4*Estacionalidad!H$13+Programas!T$11+Programas!T$12</f>
        <v>1406852645.28688</v>
      </c>
      <c r="U16" s="57" t="n">
        <f aca="false">(Supuestos!$C$198)*(1+Supuestos!$C$36)^4*Estacionalidad!I$13+Programas!U$11+Programas!U$12</f>
        <v>1406852645.28688</v>
      </c>
      <c r="V16" s="57" t="n">
        <f aca="false">(Supuestos!$C$198)*(1+Supuestos!$C$36)^4*Estacionalidad!J$13+Programas!V$11+Programas!V$12</f>
        <v>1406852645.28688</v>
      </c>
      <c r="W16" s="57" t="n">
        <f aca="false">(Supuestos!$C$198)*(1+Supuestos!$C$36)^4*Estacionalidad!K$13+Programas!W$11+Programas!W$12</f>
        <v>1406852645.28688</v>
      </c>
      <c r="X16" s="57" t="n">
        <f aca="false">(Supuestos!$C$198)*(1+Supuestos!$C$36)^4*Estacionalidad!L$13+Programas!X$11+Programas!X$12</f>
        <v>1406852645.28688</v>
      </c>
      <c r="Y16" s="57" t="n">
        <f aca="false">(Supuestos!$C$198)*(1+Supuestos!$C$36)^4*Estacionalidad!M$13+Programas!Y$11+Programas!Y$12</f>
        <v>1406852645.28688</v>
      </c>
      <c r="Z16" s="57" t="n">
        <f aca="false">(Supuestos!$C$198)*(1+Supuestos!$C$36)^4*Estacionalidad!N$13+Programas!Z$11+Programas!Z$12</f>
        <v>1364893622.24092</v>
      </c>
      <c r="AA16" s="57" t="n">
        <f aca="false">(Supuestos!$C$198)*(1+Supuestos!$C$36)^5*Estacionalidad!C$13+Programas!AA$11+Programas!AA$12</f>
        <v>1394893622.24092</v>
      </c>
      <c r="AB16" s="57" t="n">
        <f aca="false">(Supuestos!$C$198)*(1+Supuestos!$C$36)^5*Estacionalidad!D$13+Programas!AB$11+Programas!AB$12</f>
        <v>1408879963.25624</v>
      </c>
      <c r="AC16" s="57" t="n">
        <f aca="false">(Supuestos!$C$198)*(1+Supuestos!$C$36)^5*Estacionalidad!E$13+Programas!AC$11+Programas!AC$12</f>
        <v>1436852645.28688</v>
      </c>
      <c r="AD16" s="57" t="n">
        <f aca="false">(Supuestos!$C$198)*(1+Supuestos!$C$36)^5*Estacionalidad!F$13+Programas!AD$11+Programas!AD$12</f>
        <v>1436852645.28688</v>
      </c>
      <c r="AE16" s="57" t="n">
        <f aca="false">(Supuestos!$C$198)*(1+Supuestos!$C$36)^5*Estacionalidad!G$13+Programas!AE$11+Programas!AE$12</f>
        <v>1436852645.28688</v>
      </c>
      <c r="AF16" s="57" t="n">
        <f aca="false">(Supuestos!$C$198)*(1+Supuestos!$C$36)^5*Estacionalidad!H$13+Programas!AF$11+Programas!AF$12</f>
        <v>1436852645.28688</v>
      </c>
      <c r="AG16" s="57" t="n">
        <f aca="false">(Supuestos!$C$198)*(1+Supuestos!$C$36)^5*Estacionalidad!I$13+Programas!AG$11+Programas!AG$12</f>
        <v>1436852645.28688</v>
      </c>
      <c r="AH16" s="57" t="n">
        <f aca="false">(Supuestos!$C$198)*(1+Supuestos!$C$36)^5*Estacionalidad!J$13+Programas!AH$11+Programas!AH$12</f>
        <v>1436852645.28688</v>
      </c>
      <c r="AI16" s="57" t="n">
        <f aca="false">(Supuestos!$C$198)*(1+Supuestos!$C$36)^5*Estacionalidad!K$13+Programas!AI$11+Programas!AI$12</f>
        <v>1436852645.28688</v>
      </c>
      <c r="AJ16" s="57" t="n">
        <f aca="false">(Supuestos!$C$198)*(1+Supuestos!$C$36)^5*Estacionalidad!L$13+Programas!AJ$11+Programas!AJ$12</f>
        <v>1436852645.28688</v>
      </c>
      <c r="AK16" s="57" t="n">
        <f aca="false">(Supuestos!$C$198)*(1+Supuestos!$C$36)^5*Estacionalidad!M$13+Programas!AK$11+Programas!AK$12</f>
        <v>1436852645.28688</v>
      </c>
      <c r="AL16" s="57" t="n">
        <f aca="false">(Supuestos!$C$198)*(1+Supuestos!$C$36)^5*Estacionalidad!N$13+Programas!AL$11+Programas!AL$12</f>
        <v>1394893622.24092</v>
      </c>
      <c r="AM16" s="57" t="n">
        <f aca="false">(Supuestos!$C$198)*(1+Supuestos!$C$36)^6*Estacionalidad!C$13+Programas!AM$11+Programas!AM$12</f>
        <v>1394893622.24092</v>
      </c>
      <c r="AN16" s="57" t="n">
        <f aca="false">(Supuestos!$C$198)*(1+Supuestos!$C$36)^6*Estacionalidad!D$13+Programas!AN$11+Programas!AN$12</f>
        <v>1408879963.25624</v>
      </c>
      <c r="AO16" s="57" t="n">
        <f aca="false">(Supuestos!$C$198)*(1+Supuestos!$C$36)^6*Estacionalidad!E$13+Programas!AO$11+Programas!AO$12</f>
        <v>1436852645.28688</v>
      </c>
      <c r="AP16" s="57" t="n">
        <f aca="false">(Supuestos!$C$198)*(1+Supuestos!$C$36)^6*Estacionalidad!F$13+Programas!AP$11+Programas!AP$12</f>
        <v>1436852645.28688</v>
      </c>
      <c r="AQ16" s="57" t="n">
        <f aca="false">(Supuestos!$C$198)*(1+Supuestos!$C$36)^6*Estacionalidad!G$13+Programas!AQ$11+Programas!AQ$12</f>
        <v>1436852645.28688</v>
      </c>
      <c r="AR16" s="57" t="n">
        <f aca="false">(Supuestos!$C$198)*(1+Supuestos!$C$36)^6*Estacionalidad!H$13+Programas!AR$11+Programas!AR$12</f>
        <v>1436852645.28688</v>
      </c>
      <c r="AS16" s="57" t="n">
        <f aca="false">(Supuestos!$C$198)*(1+Supuestos!$C$36)^6*Estacionalidad!I$13+Programas!AS$11+Programas!AS$12</f>
        <v>1436852645.28688</v>
      </c>
      <c r="AT16" s="57" t="n">
        <f aca="false">(Supuestos!$C$198)*(1+Supuestos!$C$36)^6*Estacionalidad!J$13+Programas!AT$11+Programas!AT$12</f>
        <v>1436852645.28688</v>
      </c>
      <c r="AU16" s="57" t="n">
        <f aca="false">(Supuestos!$C$198)*(1+Supuestos!$C$36)^6*Estacionalidad!K$13+Programas!AU$11+Programas!AU$12</f>
        <v>1436852645.28688</v>
      </c>
      <c r="AV16" s="57" t="n">
        <f aca="false">(Supuestos!$C$198)*(1+Supuestos!$C$36)^6*Estacionalidad!L$13+Programas!AV$11+Programas!AV$12</f>
        <v>1436852645.28688</v>
      </c>
      <c r="AW16" s="57" t="n">
        <f aca="false">(Supuestos!$C$198)*(1+Supuestos!$C$36)^6*Estacionalidad!M$13+Programas!AW$11+Programas!AW$12</f>
        <v>1436852645.28688</v>
      </c>
      <c r="AX16" s="57" t="n">
        <f aca="false">(Supuestos!$C$198)*(1+Supuestos!$C$36)^6*Estacionalidad!N$13+Programas!AX$11+Programas!AX$12</f>
        <v>1394893622.24092</v>
      </c>
      <c r="AY16" s="57" t="n">
        <f aca="false">(Supuestos!$C$198)*(1+Supuestos!$C$36)^7*Estacionalidad!C$13+Programas!AY$11+Programas!AY$12</f>
        <v>1394893622.24092</v>
      </c>
      <c r="AZ16" s="57" t="n">
        <f aca="false">(Supuestos!$C$198)*(1+Supuestos!$C$36)^7*Estacionalidad!D$13+Programas!AZ$11+Programas!AZ$12</f>
        <v>1408879963.25624</v>
      </c>
      <c r="BA16" s="57" t="n">
        <f aca="false">(Supuestos!$C$198)*(1+Supuestos!$C$36)^7*Estacionalidad!E$13+Programas!BA$11+Programas!BA$12</f>
        <v>1436852645.28688</v>
      </c>
      <c r="BB16" s="57" t="n">
        <f aca="false">(Supuestos!$C$198)*(1+Supuestos!$C$36)^7*Estacionalidad!F$13+Programas!BB$11+Programas!BB$12</f>
        <v>1436852645.28688</v>
      </c>
      <c r="BC16" s="57" t="n">
        <f aca="false">(Supuestos!$C$198)*(1+Supuestos!$C$36)^7*Estacionalidad!G$13+Programas!BC$11+Programas!BC$12</f>
        <v>1436852645.28688</v>
      </c>
      <c r="BD16" s="57" t="n">
        <f aca="false">(Supuestos!$C$198)*(1+Supuestos!$C$36)^7*Estacionalidad!H$13+Programas!BD$11+Programas!BD$12</f>
        <v>1436852645.28688</v>
      </c>
      <c r="BE16" s="57" t="n">
        <f aca="false">(Supuestos!$C$198)*(1+Supuestos!$C$36)^7*Estacionalidad!I$13+Programas!BE$11+Programas!BE$12</f>
        <v>1436852645.28688</v>
      </c>
      <c r="BF16" s="57" t="n">
        <f aca="false">(Supuestos!$C$198)*(1+Supuestos!$C$36)^7*Estacionalidad!J$13+Programas!BF$11+Programas!BF$12</f>
        <v>1436852645.28688</v>
      </c>
      <c r="BG16" s="57" t="n">
        <f aca="false">(Supuestos!$C$198)*(1+Supuestos!$C$36)^7*Estacionalidad!K$13+Programas!BG$11+Programas!BG$12</f>
        <v>1436852645.28688</v>
      </c>
      <c r="BH16" s="57" t="n">
        <f aca="false">(Supuestos!$C$198)*(1+Supuestos!$C$36)^7*Estacionalidad!L$13+Programas!BH$11+Programas!BH$12</f>
        <v>1436852645.28688</v>
      </c>
      <c r="BI16" s="57" t="n">
        <f aca="false">(Supuestos!$C$198)*(1+Supuestos!$C$36)^7*Estacionalidad!M$13+Programas!BI$11+Programas!BI$12</f>
        <v>1436852645.28688</v>
      </c>
      <c r="BJ16" s="57" t="n">
        <f aca="false">(Supuestos!$C$198)*(1+Supuestos!$C$36)^7*Estacionalidad!N$13+Programas!BJ$11+Programas!BJ$12</f>
        <v>1394893622.24092</v>
      </c>
      <c r="BK16" s="57" t="n">
        <f aca="false">(Supuestos!$C$198)*(1+Supuestos!$C$36)^8*Estacionalidad!C$13+Programas!BK$11+Programas!BK$12</f>
        <v>1394893622.24092</v>
      </c>
      <c r="BL16" s="57" t="n">
        <f aca="false">(Supuestos!$C$198)*(1+Supuestos!$C$36)^8*Estacionalidad!D$13+Programas!BL$11+Programas!BL$12</f>
        <v>1408879963.25624</v>
      </c>
      <c r="BM16" s="57" t="n">
        <f aca="false">(Supuestos!$C$198)*(1+Supuestos!$C$36)^8*Estacionalidad!E$13+Programas!BM$11+Programas!BM$12</f>
        <v>1436852645.28688</v>
      </c>
      <c r="BN16" s="57" t="n">
        <f aca="false">(Supuestos!$C$198)*(1+Supuestos!$C$36)^8*Estacionalidad!F$13+Programas!BN$11+Programas!BN$12</f>
        <v>1436852645.28688</v>
      </c>
      <c r="BO16" s="57" t="n">
        <f aca="false">(Supuestos!$C$198)*(1+Supuestos!$C$36)^8*Estacionalidad!G$13+Programas!BO$11+Programas!BO$12</f>
        <v>1436852645.28688</v>
      </c>
      <c r="BP16" s="57" t="n">
        <f aca="false">(Supuestos!$C$198)*(1+Supuestos!$C$36)^8*Estacionalidad!H$13+Programas!BP$11+Programas!BP$12</f>
        <v>1436852645.28688</v>
      </c>
      <c r="BQ16" s="57" t="n">
        <f aca="false">(Supuestos!$C$198)*(1+Supuestos!$C$36)^8*Estacionalidad!I$13+Programas!BQ$11+Programas!BQ$12</f>
        <v>1436852645.28688</v>
      </c>
      <c r="BR16" s="57" t="n">
        <f aca="false">(Supuestos!$C$198)*(1+Supuestos!$C$36)^8*Estacionalidad!J$13+Programas!BR$11+Programas!BR$12</f>
        <v>1436852645.28688</v>
      </c>
      <c r="BS16" s="57" t="n">
        <f aca="false">(Supuestos!$C$198)*(1+Supuestos!$C$36)^8*Estacionalidad!K$13+Programas!BS$11+Programas!BS$12</f>
        <v>1436852645.28688</v>
      </c>
      <c r="BT16" s="57" t="n">
        <f aca="false">(Supuestos!$C$198)*(1+Supuestos!$C$36)^8*Estacionalidad!L$13+Programas!BT$11+Programas!BT$12</f>
        <v>1436852645.28688</v>
      </c>
      <c r="BU16" s="57" t="n">
        <f aca="false">(Supuestos!$C$198)*(1+Supuestos!$C$36)^8*Estacionalidad!M$13+Programas!BU$11+Programas!BU$12</f>
        <v>1436852645.28688</v>
      </c>
      <c r="BV16" s="57" t="n">
        <f aca="false">(Supuestos!$C$198)*(1+Supuestos!$C$36)^8*Estacionalidad!N$13+Programas!BV$11+Programas!BV$12</f>
        <v>1394893622.24092</v>
      </c>
      <c r="BW16" s="57" t="n">
        <f aca="false">(Supuestos!$C$198)*(1+Supuestos!$C$36)^9*Estacionalidad!C$13+Programas!BW$11+Programas!BW$12</f>
        <v>1394893622.24092</v>
      </c>
      <c r="BX16" s="57" t="n">
        <f aca="false">(Supuestos!$C$198)*(1+Supuestos!$C$36)^9*Estacionalidad!D$13+Programas!BX$11+Programas!BX$12</f>
        <v>1408879963.25624</v>
      </c>
      <c r="BY16" s="57" t="n">
        <f aca="false">(Supuestos!$C$198)*(1+Supuestos!$C$36)^9*Estacionalidad!E$13+Programas!BY$11+Programas!BY$12</f>
        <v>1436852645.28688</v>
      </c>
      <c r="BZ16" s="57" t="n">
        <f aca="false">(Supuestos!$C$198)*(1+Supuestos!$C$36)^9*Estacionalidad!F$13+Programas!BZ$11+Programas!BZ$12</f>
        <v>1436852645.28688</v>
      </c>
      <c r="CA16" s="57" t="n">
        <f aca="false">(Supuestos!$C$198)*(1+Supuestos!$C$36)^9*Estacionalidad!G$13+Programas!CA$11+Programas!CA$12</f>
        <v>1436852645.28688</v>
      </c>
      <c r="CB16" s="57" t="n">
        <f aca="false">(Supuestos!$C$198)*(1+Supuestos!$C$36)^9*Estacionalidad!H$13+Programas!CB$11+Programas!CB$12</f>
        <v>1436852645.28688</v>
      </c>
      <c r="CC16" s="57" t="n">
        <f aca="false">(Supuestos!$C$198)*(1+Supuestos!$C$36)^9*Estacionalidad!I$13+Programas!CC$11+Programas!CC$12</f>
        <v>1436852645.28688</v>
      </c>
      <c r="CD16" s="57" t="n">
        <f aca="false">(Supuestos!$C$198)*(1+Supuestos!$C$36)^9*Estacionalidad!J$13+Programas!CD$11+Programas!CD$12</f>
        <v>1436852645.28688</v>
      </c>
      <c r="CE16" s="57" t="n">
        <f aca="false">(Supuestos!$C$198)*(1+Supuestos!$C$36)^9*Estacionalidad!K$13+Programas!CE$11+Programas!CE$12</f>
        <v>1436852645.28688</v>
      </c>
      <c r="CF16" s="57" t="n">
        <f aca="false">(Supuestos!$C$198)*(1+Supuestos!$C$36)^9*Estacionalidad!L$13+Programas!CF$11+Programas!CF$12</f>
        <v>1436852645.28688</v>
      </c>
      <c r="CG16" s="57" t="n">
        <f aca="false">(Supuestos!$C$198)*(1+Supuestos!$C$36)^9*Estacionalidad!M$13+Programas!CG$11+Programas!CG$12</f>
        <v>1436852645.28688</v>
      </c>
      <c r="CH16" s="57" t="n">
        <f aca="false">(Supuestos!$C$198)*(1+Supuestos!$C$36)^9*Estacionalidad!N$13+Programas!CH$11+Programas!CH$12</f>
        <v>1394893622.24092</v>
      </c>
      <c r="CI16" s="57" t="n">
        <f aca="false">(Supuestos!$C$198)*(1+Supuestos!$C$36)^10*Estacionalidad!C$13+Programas!CI$11+Programas!CI$12</f>
        <v>1394893622.24092</v>
      </c>
      <c r="CJ16" s="57" t="n">
        <f aca="false">(Supuestos!$C$198)*(1+Supuestos!$C$36)^10*Estacionalidad!D$13+Programas!CJ$11+Programas!CJ$12</f>
        <v>1408879963.25624</v>
      </c>
      <c r="CK16" s="57" t="n">
        <f aca="false">(Supuestos!$C$198)*(1+Supuestos!$C$36)^10*Estacionalidad!E$13+Programas!CK$11+Programas!CK$12</f>
        <v>1436852645.28688</v>
      </c>
      <c r="CL16" s="57" t="n">
        <f aca="false">(Supuestos!$C$198)*(1+Supuestos!$C$36)^10*Estacionalidad!F$13+Programas!CL$11+Programas!CL$12</f>
        <v>1436852645.28688</v>
      </c>
      <c r="CM16" s="57" t="n">
        <f aca="false">(Supuestos!$C$198)*(1+Supuestos!$C$36)^10*Estacionalidad!G$13+Programas!CM$11+Programas!CM$12</f>
        <v>1436852645.28688</v>
      </c>
      <c r="CN16" s="57" t="n">
        <f aca="false">(Supuestos!$C$198)*(1+Supuestos!$C$36)^10*Estacionalidad!H$13+Programas!CN$11+Programas!CN$12</f>
        <v>1436852645.28688</v>
      </c>
      <c r="CO16" s="57" t="n">
        <f aca="false">(Supuestos!$C$198)*(1+Supuestos!$C$36)^10*Estacionalidad!I$13+Programas!CO$11+Programas!CO$12</f>
        <v>1436852645.28688</v>
      </c>
      <c r="CP16" s="57" t="n">
        <f aca="false">(Supuestos!$C$198)*(1+Supuestos!$C$36)^10*Estacionalidad!J$13+Programas!CP$11+Programas!CP$12</f>
        <v>1436852645.28688</v>
      </c>
      <c r="CQ16" s="57" t="n">
        <f aca="false">(Supuestos!$C$198)*(1+Supuestos!$C$36)^10*Estacionalidad!K$13+Programas!CQ$11+Programas!CQ$12</f>
        <v>1436852645.28688</v>
      </c>
      <c r="CR16" s="57" t="n">
        <f aca="false">(Supuestos!$C$198)*(1+Supuestos!$C$36)^10*Estacionalidad!L$13+Programas!CR$11+Programas!CR$12</f>
        <v>1436852645.28688</v>
      </c>
      <c r="CS16" s="57" t="n">
        <f aca="false">(Supuestos!$C$198)*(1+Supuestos!$C$36)^10*Estacionalidad!M$13+Programas!CS$11+Programas!CS$12</f>
        <v>1436852645.28688</v>
      </c>
      <c r="CT16" s="57" t="n">
        <f aca="false">(Supuestos!$C$198)*(1+Supuestos!$C$36)^10*Estacionalidad!N$13+Programas!CT$11+Programas!CT$12</f>
        <v>1394893622.24092</v>
      </c>
    </row>
    <row r="17" customFormat="false" ht="15" hidden="false" customHeight="true" outlineLevel="0" collapsed="false">
      <c r="B17" s="19" t="s">
        <v>343</v>
      </c>
      <c r="C17" s="57" t="n">
        <f aca="false">(Supuestos!$C$199)*(1+Supuestos!$C$36)^3*Estacionalidad!C$13</f>
        <v>660560670.10611</v>
      </c>
      <c r="D17" s="57" t="n">
        <f aca="false">(Supuestos!$C$199)*(1+Supuestos!$C$36)^3*Estacionalidad!D$13</f>
        <v>668715740.10742</v>
      </c>
      <c r="E17" s="57" t="n">
        <f aca="false">(Supuestos!$C$199)*(1+Supuestos!$C$36)^3*Estacionalidad!E$13</f>
        <v>685025880.11004</v>
      </c>
      <c r="F17" s="57" t="n">
        <f aca="false">(Supuestos!$C$199)*(1+Supuestos!$C$36)^3*Estacionalidad!F$13</f>
        <v>685025880.11004</v>
      </c>
      <c r="G17" s="57" t="n">
        <f aca="false">(Supuestos!$C$199)*(1+Supuestos!$C$36)^3*Estacionalidad!G$13</f>
        <v>685025880.11004</v>
      </c>
      <c r="H17" s="57" t="n">
        <f aca="false">(Supuestos!$C$199)*(1+Supuestos!$C$36)^3*Estacionalidad!H$13</f>
        <v>685025880.11004</v>
      </c>
      <c r="I17" s="57" t="n">
        <f aca="false">(Supuestos!$C$199)*(1+Supuestos!$C$36)^3*Estacionalidad!I$13</f>
        <v>685025880.11004</v>
      </c>
      <c r="J17" s="57" t="n">
        <f aca="false">(Supuestos!$C$199)*(1+Supuestos!$C$36)^3*Estacionalidad!J$13</f>
        <v>685025880.11004</v>
      </c>
      <c r="K17" s="57" t="n">
        <f aca="false">(Supuestos!$C$199)*(1+Supuestos!$C$36)^3*Estacionalidad!K$13</f>
        <v>685025880.11004</v>
      </c>
      <c r="L17" s="57" t="n">
        <f aca="false">(Supuestos!$C$199)*(1+Supuestos!$C$36)^3*Estacionalidad!L$13</f>
        <v>685025880.11004</v>
      </c>
      <c r="M17" s="57" t="n">
        <f aca="false">(Supuestos!$C$199)*(1+Supuestos!$C$36)^3*Estacionalidad!M$13</f>
        <v>685025880.11004</v>
      </c>
      <c r="N17" s="57" t="n">
        <f aca="false">(Supuestos!$C$199)*(1+Supuestos!$C$36)^3*Estacionalidad!N$13</f>
        <v>660560670.10611</v>
      </c>
      <c r="O17" s="57" t="n">
        <f aca="false">(Supuestos!$C$199)*(1+Supuestos!$C$36)^4*Estacionalidad!C$13</f>
        <v>660560670.10611</v>
      </c>
      <c r="P17" s="57" t="n">
        <f aca="false">(Supuestos!$C$199)*(1+Supuestos!$C$36)^4*Estacionalidad!D$13</f>
        <v>668715740.10742</v>
      </c>
      <c r="Q17" s="57" t="n">
        <f aca="false">(Supuestos!$C$199)*(1+Supuestos!$C$36)^4*Estacionalidad!E$13</f>
        <v>685025880.11004</v>
      </c>
      <c r="R17" s="57" t="n">
        <f aca="false">(Supuestos!$C$199)*(1+Supuestos!$C$36)^4*Estacionalidad!F$13</f>
        <v>685025880.11004</v>
      </c>
      <c r="S17" s="57" t="n">
        <f aca="false">(Supuestos!$C$199)*(1+Supuestos!$C$36)^4*Estacionalidad!G$13</f>
        <v>685025880.11004</v>
      </c>
      <c r="T17" s="57" t="n">
        <f aca="false">(Supuestos!$C$199)*(1+Supuestos!$C$36)^4*Estacionalidad!H$13</f>
        <v>685025880.11004</v>
      </c>
      <c r="U17" s="57" t="n">
        <f aca="false">(Supuestos!$C$199)*(1+Supuestos!$C$36)^4*Estacionalidad!I$13</f>
        <v>685025880.11004</v>
      </c>
      <c r="V17" s="57" t="n">
        <f aca="false">(Supuestos!$C$199)*(1+Supuestos!$C$36)^4*Estacionalidad!J$13</f>
        <v>685025880.11004</v>
      </c>
      <c r="W17" s="57" t="n">
        <f aca="false">(Supuestos!$C$199)*(1+Supuestos!$C$36)^4*Estacionalidad!K$13</f>
        <v>685025880.11004</v>
      </c>
      <c r="X17" s="57" t="n">
        <f aca="false">(Supuestos!$C$199)*(1+Supuestos!$C$36)^4*Estacionalidad!L$13</f>
        <v>685025880.11004</v>
      </c>
      <c r="Y17" s="57" t="n">
        <f aca="false">(Supuestos!$C$199)*(1+Supuestos!$C$36)^4*Estacionalidad!M$13</f>
        <v>685025880.11004</v>
      </c>
      <c r="Z17" s="57" t="n">
        <f aca="false">(Supuestos!$C$199)*(1+Supuestos!$C$36)^4*Estacionalidad!N$13</f>
        <v>660560670.10611</v>
      </c>
      <c r="AA17" s="57" t="n">
        <f aca="false">(Supuestos!$C$199)*(1+Supuestos!$C$36)^5*Estacionalidad!C$13</f>
        <v>660560670.10611</v>
      </c>
      <c r="AB17" s="57" t="n">
        <f aca="false">(Supuestos!$C$199)*(1+Supuestos!$C$36)^5*Estacionalidad!D$13</f>
        <v>668715740.10742</v>
      </c>
      <c r="AC17" s="57" t="n">
        <f aca="false">(Supuestos!$C$199)*(1+Supuestos!$C$36)^5*Estacionalidad!E$13</f>
        <v>685025880.11004</v>
      </c>
      <c r="AD17" s="57" t="n">
        <f aca="false">(Supuestos!$C$199)*(1+Supuestos!$C$36)^5*Estacionalidad!F$13</f>
        <v>685025880.11004</v>
      </c>
      <c r="AE17" s="57" t="n">
        <f aca="false">(Supuestos!$C$199)*(1+Supuestos!$C$36)^5*Estacionalidad!G$13</f>
        <v>685025880.11004</v>
      </c>
      <c r="AF17" s="57" t="n">
        <f aca="false">(Supuestos!$C$199)*(1+Supuestos!$C$36)^5*Estacionalidad!H$13</f>
        <v>685025880.11004</v>
      </c>
      <c r="AG17" s="57" t="n">
        <f aca="false">(Supuestos!$C$199)*(1+Supuestos!$C$36)^5*Estacionalidad!I$13</f>
        <v>685025880.11004</v>
      </c>
      <c r="AH17" s="57" t="n">
        <f aca="false">(Supuestos!$C$199)*(1+Supuestos!$C$36)^5*Estacionalidad!J$13</f>
        <v>685025880.11004</v>
      </c>
      <c r="AI17" s="57" t="n">
        <f aca="false">(Supuestos!$C$199)*(1+Supuestos!$C$36)^5*Estacionalidad!K$13</f>
        <v>685025880.11004</v>
      </c>
      <c r="AJ17" s="57" t="n">
        <f aca="false">(Supuestos!$C$199)*(1+Supuestos!$C$36)^5*Estacionalidad!L$13</f>
        <v>685025880.11004</v>
      </c>
      <c r="AK17" s="57" t="n">
        <f aca="false">(Supuestos!$C$199)*(1+Supuestos!$C$36)^5*Estacionalidad!M$13</f>
        <v>685025880.11004</v>
      </c>
      <c r="AL17" s="57" t="n">
        <f aca="false">(Supuestos!$C$199)*(1+Supuestos!$C$36)^5*Estacionalidad!N$13</f>
        <v>660560670.10611</v>
      </c>
      <c r="AM17" s="57" t="n">
        <f aca="false">(Supuestos!$C$199)*(1+Supuestos!$C$36)^6*Estacionalidad!C$13</f>
        <v>660560670.10611</v>
      </c>
      <c r="AN17" s="57" t="n">
        <f aca="false">(Supuestos!$C$199)*(1+Supuestos!$C$36)^6*Estacionalidad!D$13</f>
        <v>668715740.10742</v>
      </c>
      <c r="AO17" s="57" t="n">
        <f aca="false">(Supuestos!$C$199)*(1+Supuestos!$C$36)^6*Estacionalidad!E$13</f>
        <v>685025880.11004</v>
      </c>
      <c r="AP17" s="57" t="n">
        <f aca="false">(Supuestos!$C$199)*(1+Supuestos!$C$36)^6*Estacionalidad!F$13</f>
        <v>685025880.11004</v>
      </c>
      <c r="AQ17" s="57" t="n">
        <f aca="false">(Supuestos!$C$199)*(1+Supuestos!$C$36)^6*Estacionalidad!G$13</f>
        <v>685025880.11004</v>
      </c>
      <c r="AR17" s="57" t="n">
        <f aca="false">(Supuestos!$C$199)*(1+Supuestos!$C$36)^6*Estacionalidad!H$13</f>
        <v>685025880.11004</v>
      </c>
      <c r="AS17" s="57" t="n">
        <f aca="false">(Supuestos!$C$199)*(1+Supuestos!$C$36)^6*Estacionalidad!I$13</f>
        <v>685025880.11004</v>
      </c>
      <c r="AT17" s="57" t="n">
        <f aca="false">(Supuestos!$C$199)*(1+Supuestos!$C$36)^6*Estacionalidad!J$13</f>
        <v>685025880.11004</v>
      </c>
      <c r="AU17" s="57" t="n">
        <f aca="false">(Supuestos!$C$199)*(1+Supuestos!$C$36)^6*Estacionalidad!K$13</f>
        <v>685025880.11004</v>
      </c>
      <c r="AV17" s="57" t="n">
        <f aca="false">(Supuestos!$C$199)*(1+Supuestos!$C$36)^6*Estacionalidad!L$13</f>
        <v>685025880.11004</v>
      </c>
      <c r="AW17" s="57" t="n">
        <f aca="false">(Supuestos!$C$199)*(1+Supuestos!$C$36)^6*Estacionalidad!M$13</f>
        <v>685025880.11004</v>
      </c>
      <c r="AX17" s="57" t="n">
        <f aca="false">(Supuestos!$C$199)*(1+Supuestos!$C$36)^6*Estacionalidad!N$13</f>
        <v>660560670.10611</v>
      </c>
      <c r="AY17" s="57" t="n">
        <f aca="false">(Supuestos!$C$199)*(1+Supuestos!$C$36)^7*Estacionalidad!C$13</f>
        <v>660560670.10611</v>
      </c>
      <c r="AZ17" s="57" t="n">
        <f aca="false">(Supuestos!$C$199)*(1+Supuestos!$C$36)^7*Estacionalidad!D$13</f>
        <v>668715740.10742</v>
      </c>
      <c r="BA17" s="57" t="n">
        <f aca="false">(Supuestos!$C$199)*(1+Supuestos!$C$36)^7*Estacionalidad!E$13</f>
        <v>685025880.11004</v>
      </c>
      <c r="BB17" s="57" t="n">
        <f aca="false">(Supuestos!$C$199)*(1+Supuestos!$C$36)^7*Estacionalidad!F$13</f>
        <v>685025880.11004</v>
      </c>
      <c r="BC17" s="57" t="n">
        <f aca="false">(Supuestos!$C$199)*(1+Supuestos!$C$36)^7*Estacionalidad!G$13</f>
        <v>685025880.11004</v>
      </c>
      <c r="BD17" s="57" t="n">
        <f aca="false">(Supuestos!$C$199)*(1+Supuestos!$C$36)^7*Estacionalidad!H$13</f>
        <v>685025880.11004</v>
      </c>
      <c r="BE17" s="57" t="n">
        <f aca="false">(Supuestos!$C$199)*(1+Supuestos!$C$36)^7*Estacionalidad!I$13</f>
        <v>685025880.11004</v>
      </c>
      <c r="BF17" s="57" t="n">
        <f aca="false">(Supuestos!$C$199)*(1+Supuestos!$C$36)^7*Estacionalidad!J$13</f>
        <v>685025880.11004</v>
      </c>
      <c r="BG17" s="57" t="n">
        <f aca="false">(Supuestos!$C$199)*(1+Supuestos!$C$36)^7*Estacionalidad!K$13</f>
        <v>685025880.11004</v>
      </c>
      <c r="BH17" s="57" t="n">
        <f aca="false">(Supuestos!$C$199)*(1+Supuestos!$C$36)^7*Estacionalidad!L$13</f>
        <v>685025880.11004</v>
      </c>
      <c r="BI17" s="57" t="n">
        <f aca="false">(Supuestos!$C$199)*(1+Supuestos!$C$36)^7*Estacionalidad!M$13</f>
        <v>685025880.11004</v>
      </c>
      <c r="BJ17" s="57" t="n">
        <f aca="false">(Supuestos!$C$199)*(1+Supuestos!$C$36)^7*Estacionalidad!N$13</f>
        <v>660560670.10611</v>
      </c>
      <c r="BK17" s="57" t="n">
        <f aca="false">(Supuestos!$C$199)*(1+Supuestos!$C$36)^8*Estacionalidad!C$13</f>
        <v>660560670.10611</v>
      </c>
      <c r="BL17" s="57" t="n">
        <f aca="false">(Supuestos!$C$199)*(1+Supuestos!$C$36)^8*Estacionalidad!D$13</f>
        <v>668715740.10742</v>
      </c>
      <c r="BM17" s="57" t="n">
        <f aca="false">(Supuestos!$C$199)*(1+Supuestos!$C$36)^8*Estacionalidad!E$13</f>
        <v>685025880.11004</v>
      </c>
      <c r="BN17" s="57" t="n">
        <f aca="false">(Supuestos!$C$199)*(1+Supuestos!$C$36)^8*Estacionalidad!F$13</f>
        <v>685025880.11004</v>
      </c>
      <c r="BO17" s="57" t="n">
        <f aca="false">(Supuestos!$C$199)*(1+Supuestos!$C$36)^8*Estacionalidad!G$13</f>
        <v>685025880.11004</v>
      </c>
      <c r="BP17" s="57" t="n">
        <f aca="false">(Supuestos!$C$199)*(1+Supuestos!$C$36)^8*Estacionalidad!H$13</f>
        <v>685025880.11004</v>
      </c>
      <c r="BQ17" s="57" t="n">
        <f aca="false">(Supuestos!$C$199)*(1+Supuestos!$C$36)^8*Estacionalidad!I$13</f>
        <v>685025880.11004</v>
      </c>
      <c r="BR17" s="57" t="n">
        <f aca="false">(Supuestos!$C$199)*(1+Supuestos!$C$36)^8*Estacionalidad!J$13</f>
        <v>685025880.11004</v>
      </c>
      <c r="BS17" s="57" t="n">
        <f aca="false">(Supuestos!$C$199)*(1+Supuestos!$C$36)^8*Estacionalidad!K$13</f>
        <v>685025880.11004</v>
      </c>
      <c r="BT17" s="57" t="n">
        <f aca="false">(Supuestos!$C$199)*(1+Supuestos!$C$36)^8*Estacionalidad!L$13</f>
        <v>685025880.11004</v>
      </c>
      <c r="BU17" s="57" t="n">
        <f aca="false">(Supuestos!$C$199)*(1+Supuestos!$C$36)^8*Estacionalidad!M$13</f>
        <v>685025880.11004</v>
      </c>
      <c r="BV17" s="57" t="n">
        <f aca="false">(Supuestos!$C$199)*(1+Supuestos!$C$36)^8*Estacionalidad!N$13</f>
        <v>660560670.10611</v>
      </c>
      <c r="BW17" s="57" t="n">
        <f aca="false">(Supuestos!$C$199)*(1+Supuestos!$C$36)^9*Estacionalidad!C$13</f>
        <v>660560670.10611</v>
      </c>
      <c r="BX17" s="57" t="n">
        <f aca="false">(Supuestos!$C$199)*(1+Supuestos!$C$36)^9*Estacionalidad!D$13</f>
        <v>668715740.10742</v>
      </c>
      <c r="BY17" s="57" t="n">
        <f aca="false">(Supuestos!$C$199)*(1+Supuestos!$C$36)^9*Estacionalidad!E$13</f>
        <v>685025880.11004</v>
      </c>
      <c r="BZ17" s="57" t="n">
        <f aca="false">(Supuestos!$C$199)*(1+Supuestos!$C$36)^9*Estacionalidad!F$13</f>
        <v>685025880.11004</v>
      </c>
      <c r="CA17" s="57" t="n">
        <f aca="false">(Supuestos!$C$199)*(1+Supuestos!$C$36)^9*Estacionalidad!G$13</f>
        <v>685025880.11004</v>
      </c>
      <c r="CB17" s="57" t="n">
        <f aca="false">(Supuestos!$C$199)*(1+Supuestos!$C$36)^9*Estacionalidad!H$13</f>
        <v>685025880.11004</v>
      </c>
      <c r="CC17" s="57" t="n">
        <f aca="false">(Supuestos!$C$199)*(1+Supuestos!$C$36)^9*Estacionalidad!I$13</f>
        <v>685025880.11004</v>
      </c>
      <c r="CD17" s="57" t="n">
        <f aca="false">(Supuestos!$C$199)*(1+Supuestos!$C$36)^9*Estacionalidad!J$13</f>
        <v>685025880.11004</v>
      </c>
      <c r="CE17" s="57" t="n">
        <f aca="false">(Supuestos!$C$199)*(1+Supuestos!$C$36)^9*Estacionalidad!K$13</f>
        <v>685025880.11004</v>
      </c>
      <c r="CF17" s="57" t="n">
        <f aca="false">(Supuestos!$C$199)*(1+Supuestos!$C$36)^9*Estacionalidad!L$13</f>
        <v>685025880.11004</v>
      </c>
      <c r="CG17" s="57" t="n">
        <f aca="false">(Supuestos!$C$199)*(1+Supuestos!$C$36)^9*Estacionalidad!M$13</f>
        <v>685025880.11004</v>
      </c>
      <c r="CH17" s="57" t="n">
        <f aca="false">(Supuestos!$C$199)*(1+Supuestos!$C$36)^9*Estacionalidad!N$13</f>
        <v>660560670.10611</v>
      </c>
      <c r="CI17" s="57" t="n">
        <f aca="false">(Supuestos!$C$199)*(1+Supuestos!$C$36)^10*Estacionalidad!C$13</f>
        <v>660560670.10611</v>
      </c>
      <c r="CJ17" s="57" t="n">
        <f aca="false">(Supuestos!$C$199)*(1+Supuestos!$C$36)^10*Estacionalidad!D$13</f>
        <v>668715740.10742</v>
      </c>
      <c r="CK17" s="57" t="n">
        <f aca="false">(Supuestos!$C$199)*(1+Supuestos!$C$36)^10*Estacionalidad!E$13</f>
        <v>685025880.11004</v>
      </c>
      <c r="CL17" s="57" t="n">
        <f aca="false">(Supuestos!$C$199)*(1+Supuestos!$C$36)^10*Estacionalidad!F$13</f>
        <v>685025880.11004</v>
      </c>
      <c r="CM17" s="57" t="n">
        <f aca="false">(Supuestos!$C$199)*(1+Supuestos!$C$36)^10*Estacionalidad!G$13</f>
        <v>685025880.11004</v>
      </c>
      <c r="CN17" s="57" t="n">
        <f aca="false">(Supuestos!$C$199)*(1+Supuestos!$C$36)^10*Estacionalidad!H$13</f>
        <v>685025880.11004</v>
      </c>
      <c r="CO17" s="57" t="n">
        <f aca="false">(Supuestos!$C$199)*(1+Supuestos!$C$36)^10*Estacionalidad!I$13</f>
        <v>685025880.11004</v>
      </c>
      <c r="CP17" s="57" t="n">
        <f aca="false">(Supuestos!$C$199)*(1+Supuestos!$C$36)^10*Estacionalidad!J$13</f>
        <v>685025880.11004</v>
      </c>
      <c r="CQ17" s="57" t="n">
        <f aca="false">(Supuestos!$C$199)*(1+Supuestos!$C$36)^10*Estacionalidad!K$13</f>
        <v>685025880.11004</v>
      </c>
      <c r="CR17" s="57" t="n">
        <f aca="false">(Supuestos!$C$199)*(1+Supuestos!$C$36)^10*Estacionalidad!L$13</f>
        <v>685025880.11004</v>
      </c>
      <c r="CS17" s="57" t="n">
        <f aca="false">(Supuestos!$C$199)*(1+Supuestos!$C$36)^10*Estacionalidad!M$13</f>
        <v>685025880.11004</v>
      </c>
      <c r="CT17" s="57" t="n">
        <f aca="false">(Supuestos!$C$199)*(1+Supuestos!$C$36)^10*Estacionalidad!N$13</f>
        <v>660560670.10611</v>
      </c>
    </row>
    <row r="18" customFormat="false" ht="15" hidden="false" customHeight="true" outlineLevel="0" collapsed="false">
      <c r="B18" s="19" t="s">
        <v>344</v>
      </c>
      <c r="C18" s="57" t="n">
        <f aca="false">(Supuestos!$C$200)*(1+Supuestos!$C$36)^3*Estacionalidad!C$13+Programas!C$30</f>
        <v>106714061.395553</v>
      </c>
      <c r="D18" s="57" t="n">
        <f aca="false">(Supuestos!$C$200)*(1+Supuestos!$C$36)^3*Estacionalidad!D$13+Programas!D$30</f>
        <v>106884375.896173</v>
      </c>
      <c r="E18" s="57" t="n">
        <f aca="false">(Supuestos!$C$200)*(1+Supuestos!$C$36)^3*Estacionalidad!E$13+Programas!E$30</f>
        <v>107225004.897413</v>
      </c>
      <c r="F18" s="57" t="n">
        <f aca="false">(Supuestos!$C$200)*(1+Supuestos!$C$36)^3*Estacionalidad!F$13+Programas!F$30</f>
        <v>107225004.897413</v>
      </c>
      <c r="G18" s="57" t="n">
        <f aca="false">(Supuestos!$C$200)*(1+Supuestos!$C$36)^3*Estacionalidad!G$13+Programas!G$30</f>
        <v>107225004.897413</v>
      </c>
      <c r="H18" s="57" t="n">
        <f aca="false">(Supuestos!$C$200)*(1+Supuestos!$C$36)^3*Estacionalidad!H$13+Programas!H$30</f>
        <v>107225004.897413</v>
      </c>
      <c r="I18" s="57" t="n">
        <f aca="false">(Supuestos!$C$200)*(1+Supuestos!$C$36)^3*Estacionalidad!I$13+Programas!I$30</f>
        <v>107225004.897413</v>
      </c>
      <c r="J18" s="57" t="n">
        <f aca="false">(Supuestos!$C$200)*(1+Supuestos!$C$36)^3*Estacionalidad!J$13+Programas!J$30</f>
        <v>107225004.897413</v>
      </c>
      <c r="K18" s="57" t="n">
        <f aca="false">(Supuestos!$C$200)*(1+Supuestos!$C$36)^3*Estacionalidad!K$13+Programas!K$30</f>
        <v>107225004.897413</v>
      </c>
      <c r="L18" s="57" t="n">
        <f aca="false">(Supuestos!$C$200)*(1+Supuestos!$C$36)^3*Estacionalidad!L$13+Programas!L$30</f>
        <v>107225004.897413</v>
      </c>
      <c r="M18" s="57" t="n">
        <f aca="false">(Supuestos!$C$200)*(1+Supuestos!$C$36)^3*Estacionalidad!M$13+Programas!M$30</f>
        <v>107225004.897413</v>
      </c>
      <c r="N18" s="57" t="n">
        <f aca="false">(Supuestos!$C$200)*(1+Supuestos!$C$36)^3*Estacionalidad!N$13+Programas!N$30</f>
        <v>106714061.395553</v>
      </c>
      <c r="O18" s="57" t="n">
        <f aca="false">(Supuestos!$C$200)*(1+Supuestos!$C$36)^4*Estacionalidad!C$13+Programas!O$30</f>
        <v>205517535.484897</v>
      </c>
      <c r="P18" s="57" t="n">
        <f aca="false">(Supuestos!$C$200)*(1+Supuestos!$C$36)^4*Estacionalidad!D$13+Programas!P$30</f>
        <v>205687849.985517</v>
      </c>
      <c r="Q18" s="57" t="n">
        <f aca="false">(Supuestos!$C$200)*(1+Supuestos!$C$36)^4*Estacionalidad!E$13+Programas!Q$30</f>
        <v>206028478.986757</v>
      </c>
      <c r="R18" s="57" t="n">
        <f aca="false">(Supuestos!$C$200)*(1+Supuestos!$C$36)^4*Estacionalidad!F$13+Programas!R$30</f>
        <v>206028478.986757</v>
      </c>
      <c r="S18" s="57" t="n">
        <f aca="false">(Supuestos!$C$200)*(1+Supuestos!$C$36)^4*Estacionalidad!G$13+Programas!S$30</f>
        <v>206028478.986757</v>
      </c>
      <c r="T18" s="57" t="n">
        <f aca="false">(Supuestos!$C$200)*(1+Supuestos!$C$36)^4*Estacionalidad!H$13+Programas!T$30</f>
        <v>206028478.986757</v>
      </c>
      <c r="U18" s="57" t="n">
        <f aca="false">(Supuestos!$C$200)*(1+Supuestos!$C$36)^4*Estacionalidad!I$13+Programas!U$30</f>
        <v>206028478.986757</v>
      </c>
      <c r="V18" s="57" t="n">
        <f aca="false">(Supuestos!$C$200)*(1+Supuestos!$C$36)^4*Estacionalidad!J$13+Programas!V$30</f>
        <v>206028478.986757</v>
      </c>
      <c r="W18" s="57" t="n">
        <f aca="false">(Supuestos!$C$200)*(1+Supuestos!$C$36)^4*Estacionalidad!K$13+Programas!W$30</f>
        <v>206028478.986757</v>
      </c>
      <c r="X18" s="57" t="n">
        <f aca="false">(Supuestos!$C$200)*(1+Supuestos!$C$36)^4*Estacionalidad!L$13+Programas!X$30</f>
        <v>206028478.986757</v>
      </c>
      <c r="Y18" s="57" t="n">
        <f aca="false">(Supuestos!$C$200)*(1+Supuestos!$C$36)^4*Estacionalidad!M$13+Programas!Y$30</f>
        <v>206028478.986757</v>
      </c>
      <c r="Z18" s="57" t="n">
        <f aca="false">(Supuestos!$C$200)*(1+Supuestos!$C$36)^4*Estacionalidad!N$13+Programas!Z$30</f>
        <v>205517535.484897</v>
      </c>
      <c r="AA18" s="57" t="n">
        <f aca="false">(Supuestos!$C$200)*(1+Supuestos!$C$36)^5*Estacionalidad!C$13+Programas!AA$30</f>
        <v>295832461.229569</v>
      </c>
      <c r="AB18" s="57" t="n">
        <f aca="false">(Supuestos!$C$200)*(1+Supuestos!$C$36)^5*Estacionalidad!D$13+Programas!AB$30</f>
        <v>296002775.730189</v>
      </c>
      <c r="AC18" s="57" t="n">
        <f aca="false">(Supuestos!$C$200)*(1+Supuestos!$C$36)^5*Estacionalidad!E$13+Programas!AC$30</f>
        <v>296343404.731429</v>
      </c>
      <c r="AD18" s="57" t="n">
        <f aca="false">(Supuestos!$C$200)*(1+Supuestos!$C$36)^5*Estacionalidad!F$13+Programas!AD$30</f>
        <v>296343404.731429</v>
      </c>
      <c r="AE18" s="57" t="n">
        <f aca="false">(Supuestos!$C$200)*(1+Supuestos!$C$36)^5*Estacionalidad!G$13+Programas!AE$30</f>
        <v>296343404.731429</v>
      </c>
      <c r="AF18" s="57" t="n">
        <f aca="false">(Supuestos!$C$200)*(1+Supuestos!$C$36)^5*Estacionalidad!H$13+Programas!AF$30</f>
        <v>296343404.731429</v>
      </c>
      <c r="AG18" s="57" t="n">
        <f aca="false">(Supuestos!$C$200)*(1+Supuestos!$C$36)^5*Estacionalidad!I$13+Programas!AG$30</f>
        <v>296343404.731429</v>
      </c>
      <c r="AH18" s="57" t="n">
        <f aca="false">(Supuestos!$C$200)*(1+Supuestos!$C$36)^5*Estacionalidad!J$13+Programas!AH$30</f>
        <v>296343404.731429</v>
      </c>
      <c r="AI18" s="57" t="n">
        <f aca="false">(Supuestos!$C$200)*(1+Supuestos!$C$36)^5*Estacionalidad!K$13+Programas!AI$30</f>
        <v>296343404.731429</v>
      </c>
      <c r="AJ18" s="57" t="n">
        <f aca="false">(Supuestos!$C$200)*(1+Supuestos!$C$36)^5*Estacionalidad!L$13+Programas!AJ$30</f>
        <v>296343404.731429</v>
      </c>
      <c r="AK18" s="57" t="n">
        <f aca="false">(Supuestos!$C$200)*(1+Supuestos!$C$36)^5*Estacionalidad!M$13+Programas!AK$30</f>
        <v>296343404.731429</v>
      </c>
      <c r="AL18" s="57" t="n">
        <f aca="false">(Supuestos!$C$200)*(1+Supuestos!$C$36)^5*Estacionalidad!N$13+Programas!AL$30</f>
        <v>295832461.229569</v>
      </c>
      <c r="AM18" s="57" t="n">
        <f aca="false">(Supuestos!$C$200)*(1+Supuestos!$C$36)^6*Estacionalidad!C$13+Programas!AM$30</f>
        <v>324049007.645553</v>
      </c>
      <c r="AN18" s="57" t="n">
        <f aca="false">(Supuestos!$C$200)*(1+Supuestos!$C$36)^6*Estacionalidad!D$13+Programas!AN$30</f>
        <v>324219322.146173</v>
      </c>
      <c r="AO18" s="57" t="n">
        <f aca="false">(Supuestos!$C$200)*(1+Supuestos!$C$36)^6*Estacionalidad!E$13+Programas!AO$30</f>
        <v>324559951.147413</v>
      </c>
      <c r="AP18" s="57" t="n">
        <f aca="false">(Supuestos!$C$200)*(1+Supuestos!$C$36)^6*Estacionalidad!F$13+Programas!AP$30</f>
        <v>324559951.147413</v>
      </c>
      <c r="AQ18" s="57" t="n">
        <f aca="false">(Supuestos!$C$200)*(1+Supuestos!$C$36)^6*Estacionalidad!G$13+Programas!AQ$30</f>
        <v>324559951.147413</v>
      </c>
      <c r="AR18" s="57" t="n">
        <f aca="false">(Supuestos!$C$200)*(1+Supuestos!$C$36)^6*Estacionalidad!H$13+Programas!AR$30</f>
        <v>324559951.147413</v>
      </c>
      <c r="AS18" s="57" t="n">
        <f aca="false">(Supuestos!$C$200)*(1+Supuestos!$C$36)^6*Estacionalidad!I$13+Programas!AS$30</f>
        <v>324559951.147413</v>
      </c>
      <c r="AT18" s="57" t="n">
        <f aca="false">(Supuestos!$C$200)*(1+Supuestos!$C$36)^6*Estacionalidad!J$13+Programas!AT$30</f>
        <v>324559951.147413</v>
      </c>
      <c r="AU18" s="57" t="n">
        <f aca="false">(Supuestos!$C$200)*(1+Supuestos!$C$36)^6*Estacionalidad!K$13+Programas!AU$30</f>
        <v>324559951.147413</v>
      </c>
      <c r="AV18" s="57" t="n">
        <f aca="false">(Supuestos!$C$200)*(1+Supuestos!$C$36)^6*Estacionalidad!L$13+Programas!AV$30</f>
        <v>324559951.147413</v>
      </c>
      <c r="AW18" s="57" t="n">
        <f aca="false">(Supuestos!$C$200)*(1+Supuestos!$C$36)^6*Estacionalidad!M$13+Programas!AW$30</f>
        <v>324559951.147413</v>
      </c>
      <c r="AX18" s="57" t="n">
        <f aca="false">(Supuestos!$C$200)*(1+Supuestos!$C$36)^6*Estacionalidad!N$13+Programas!AX$30</f>
        <v>324049007.645553</v>
      </c>
      <c r="AY18" s="57" t="n">
        <f aca="false">(Supuestos!$C$200)*(1+Supuestos!$C$36)^7*Estacionalidad!C$13+Programas!AY$30</f>
        <v>324049007.645553</v>
      </c>
      <c r="AZ18" s="57" t="n">
        <f aca="false">(Supuestos!$C$200)*(1+Supuestos!$C$36)^7*Estacionalidad!D$13+Programas!AZ$30</f>
        <v>324219322.146173</v>
      </c>
      <c r="BA18" s="57" t="n">
        <f aca="false">(Supuestos!$C$200)*(1+Supuestos!$C$36)^7*Estacionalidad!E$13+Programas!BA$30</f>
        <v>324559951.147413</v>
      </c>
      <c r="BB18" s="57" t="n">
        <f aca="false">(Supuestos!$C$200)*(1+Supuestos!$C$36)^7*Estacionalidad!F$13+Programas!BB$30</f>
        <v>324559951.147413</v>
      </c>
      <c r="BC18" s="57" t="n">
        <f aca="false">(Supuestos!$C$200)*(1+Supuestos!$C$36)^7*Estacionalidad!G$13+Programas!BC$30</f>
        <v>324559951.147413</v>
      </c>
      <c r="BD18" s="57" t="n">
        <f aca="false">(Supuestos!$C$200)*(1+Supuestos!$C$36)^7*Estacionalidad!H$13+Programas!BD$30</f>
        <v>324559951.147413</v>
      </c>
      <c r="BE18" s="57" t="n">
        <f aca="false">(Supuestos!$C$200)*(1+Supuestos!$C$36)^7*Estacionalidad!I$13+Programas!BE$30</f>
        <v>324559951.147413</v>
      </c>
      <c r="BF18" s="57" t="n">
        <f aca="false">(Supuestos!$C$200)*(1+Supuestos!$C$36)^7*Estacionalidad!J$13+Programas!BF$30</f>
        <v>324559951.147413</v>
      </c>
      <c r="BG18" s="57" t="n">
        <f aca="false">(Supuestos!$C$200)*(1+Supuestos!$C$36)^7*Estacionalidad!K$13+Programas!BG$30</f>
        <v>324559951.147413</v>
      </c>
      <c r="BH18" s="57" t="n">
        <f aca="false">(Supuestos!$C$200)*(1+Supuestos!$C$36)^7*Estacionalidad!L$13+Programas!BH$30</f>
        <v>324559951.147413</v>
      </c>
      <c r="BI18" s="57" t="n">
        <f aca="false">(Supuestos!$C$200)*(1+Supuestos!$C$36)^7*Estacionalidad!M$13+Programas!BI$30</f>
        <v>324559951.147413</v>
      </c>
      <c r="BJ18" s="57" t="n">
        <f aca="false">(Supuestos!$C$200)*(1+Supuestos!$C$36)^7*Estacionalidad!N$13+Programas!BJ$30</f>
        <v>324049007.645553</v>
      </c>
      <c r="BK18" s="57" t="n">
        <f aca="false">(Supuestos!$C$200)*(1+Supuestos!$C$36)^8*Estacionalidad!C$13+Programas!BK$30</f>
        <v>324049007.645553</v>
      </c>
      <c r="BL18" s="57" t="n">
        <f aca="false">(Supuestos!$C$200)*(1+Supuestos!$C$36)^8*Estacionalidad!D$13+Programas!BL$30</f>
        <v>324219322.146173</v>
      </c>
      <c r="BM18" s="57" t="n">
        <f aca="false">(Supuestos!$C$200)*(1+Supuestos!$C$36)^8*Estacionalidad!E$13+Programas!BM$30</f>
        <v>324559951.147413</v>
      </c>
      <c r="BN18" s="57" t="n">
        <f aca="false">(Supuestos!$C$200)*(1+Supuestos!$C$36)^8*Estacionalidad!F$13+Programas!BN$30</f>
        <v>324559951.147413</v>
      </c>
      <c r="BO18" s="57" t="n">
        <f aca="false">(Supuestos!$C$200)*(1+Supuestos!$C$36)^8*Estacionalidad!G$13+Programas!BO$30</f>
        <v>324559951.147413</v>
      </c>
      <c r="BP18" s="57" t="n">
        <f aca="false">(Supuestos!$C$200)*(1+Supuestos!$C$36)^8*Estacionalidad!H$13+Programas!BP$30</f>
        <v>324559951.147413</v>
      </c>
      <c r="BQ18" s="57" t="n">
        <f aca="false">(Supuestos!$C$200)*(1+Supuestos!$C$36)^8*Estacionalidad!I$13+Programas!BQ$30</f>
        <v>324559951.147413</v>
      </c>
      <c r="BR18" s="57" t="n">
        <f aca="false">(Supuestos!$C$200)*(1+Supuestos!$C$36)^8*Estacionalidad!J$13+Programas!BR$30</f>
        <v>324559951.147413</v>
      </c>
      <c r="BS18" s="57" t="n">
        <f aca="false">(Supuestos!$C$200)*(1+Supuestos!$C$36)^8*Estacionalidad!K$13+Programas!BS$30</f>
        <v>324559951.147413</v>
      </c>
      <c r="BT18" s="57" t="n">
        <f aca="false">(Supuestos!$C$200)*(1+Supuestos!$C$36)^8*Estacionalidad!L$13+Programas!BT$30</f>
        <v>324559951.147413</v>
      </c>
      <c r="BU18" s="57" t="n">
        <f aca="false">(Supuestos!$C$200)*(1+Supuestos!$C$36)^8*Estacionalidad!M$13+Programas!BU$30</f>
        <v>324559951.147413</v>
      </c>
      <c r="BV18" s="57" t="n">
        <f aca="false">(Supuestos!$C$200)*(1+Supuestos!$C$36)^8*Estacionalidad!N$13+Programas!BV$30</f>
        <v>324049007.645553</v>
      </c>
      <c r="BW18" s="57" t="n">
        <f aca="false">(Supuestos!$C$200)*(1+Supuestos!$C$36)^9*Estacionalidad!C$13+Programas!BW$30</f>
        <v>324049007.645553</v>
      </c>
      <c r="BX18" s="57" t="n">
        <f aca="false">(Supuestos!$C$200)*(1+Supuestos!$C$36)^9*Estacionalidad!D$13+Programas!BX$30</f>
        <v>324219322.146173</v>
      </c>
      <c r="BY18" s="57" t="n">
        <f aca="false">(Supuestos!$C$200)*(1+Supuestos!$C$36)^9*Estacionalidad!E$13+Programas!BY$30</f>
        <v>324559951.147413</v>
      </c>
      <c r="BZ18" s="57" t="n">
        <f aca="false">(Supuestos!$C$200)*(1+Supuestos!$C$36)^9*Estacionalidad!F$13+Programas!BZ$30</f>
        <v>324559951.147413</v>
      </c>
      <c r="CA18" s="57" t="n">
        <f aca="false">(Supuestos!$C$200)*(1+Supuestos!$C$36)^9*Estacionalidad!G$13+Programas!CA$30</f>
        <v>324559951.147413</v>
      </c>
      <c r="CB18" s="57" t="n">
        <f aca="false">(Supuestos!$C$200)*(1+Supuestos!$C$36)^9*Estacionalidad!H$13+Programas!CB$30</f>
        <v>324559951.147413</v>
      </c>
      <c r="CC18" s="57" t="n">
        <f aca="false">(Supuestos!$C$200)*(1+Supuestos!$C$36)^9*Estacionalidad!I$13+Programas!CC$30</f>
        <v>324559951.147413</v>
      </c>
      <c r="CD18" s="57" t="n">
        <f aca="false">(Supuestos!$C$200)*(1+Supuestos!$C$36)^9*Estacionalidad!J$13+Programas!CD$30</f>
        <v>324559951.147413</v>
      </c>
      <c r="CE18" s="57" t="n">
        <f aca="false">(Supuestos!$C$200)*(1+Supuestos!$C$36)^9*Estacionalidad!K$13+Programas!CE$30</f>
        <v>324559951.147413</v>
      </c>
      <c r="CF18" s="57" t="n">
        <f aca="false">(Supuestos!$C$200)*(1+Supuestos!$C$36)^9*Estacionalidad!L$13+Programas!CF$30</f>
        <v>324559951.147413</v>
      </c>
      <c r="CG18" s="57" t="n">
        <f aca="false">(Supuestos!$C$200)*(1+Supuestos!$C$36)^9*Estacionalidad!M$13+Programas!CG$30</f>
        <v>324559951.147413</v>
      </c>
      <c r="CH18" s="57" t="n">
        <f aca="false">(Supuestos!$C$200)*(1+Supuestos!$C$36)^9*Estacionalidad!N$13+Programas!CH$30</f>
        <v>324049007.645553</v>
      </c>
      <c r="CI18" s="57" t="n">
        <f aca="false">(Supuestos!$C$200)*(1+Supuestos!$C$36)^10*Estacionalidad!C$13+Programas!CI$30</f>
        <v>324049007.645553</v>
      </c>
      <c r="CJ18" s="57" t="n">
        <f aca="false">(Supuestos!$C$200)*(1+Supuestos!$C$36)^10*Estacionalidad!D$13+Programas!CJ$30</f>
        <v>324219322.146173</v>
      </c>
      <c r="CK18" s="57" t="n">
        <f aca="false">(Supuestos!$C$200)*(1+Supuestos!$C$36)^10*Estacionalidad!E$13+Programas!CK$30</f>
        <v>324559951.147413</v>
      </c>
      <c r="CL18" s="57" t="n">
        <f aca="false">(Supuestos!$C$200)*(1+Supuestos!$C$36)^10*Estacionalidad!F$13+Programas!CL$30</f>
        <v>324559951.147413</v>
      </c>
      <c r="CM18" s="57" t="n">
        <f aca="false">(Supuestos!$C$200)*(1+Supuestos!$C$36)^10*Estacionalidad!G$13+Programas!CM$30</f>
        <v>324559951.147413</v>
      </c>
      <c r="CN18" s="57" t="n">
        <f aca="false">(Supuestos!$C$200)*(1+Supuestos!$C$36)^10*Estacionalidad!H$13+Programas!CN$30</f>
        <v>324559951.147413</v>
      </c>
      <c r="CO18" s="57" t="n">
        <f aca="false">(Supuestos!$C$200)*(1+Supuestos!$C$36)^10*Estacionalidad!I$13+Programas!CO$30</f>
        <v>324559951.147413</v>
      </c>
      <c r="CP18" s="57" t="n">
        <f aca="false">(Supuestos!$C$200)*(1+Supuestos!$C$36)^10*Estacionalidad!J$13+Programas!CP$30</f>
        <v>324559951.147413</v>
      </c>
      <c r="CQ18" s="57" t="n">
        <f aca="false">(Supuestos!$C$200)*(1+Supuestos!$C$36)^10*Estacionalidad!K$13+Programas!CQ$30</f>
        <v>324559951.147413</v>
      </c>
      <c r="CR18" s="57" t="n">
        <f aca="false">(Supuestos!$C$200)*(1+Supuestos!$C$36)^10*Estacionalidad!L$13+Programas!CR$30</f>
        <v>324559951.147413</v>
      </c>
      <c r="CS18" s="57" t="n">
        <f aca="false">(Supuestos!$C$200)*(1+Supuestos!$C$36)^10*Estacionalidad!M$13+Programas!CS$30</f>
        <v>324559951.147413</v>
      </c>
      <c r="CT18" s="57" t="n">
        <f aca="false">(Supuestos!$C$200)*(1+Supuestos!$C$36)^10*Estacionalidad!N$13+Programas!CT$30</f>
        <v>324049007.645553</v>
      </c>
    </row>
    <row r="19" customFormat="false" ht="15" hidden="false" customHeight="true" outlineLevel="0" collapsed="false">
      <c r="B19" s="19" t="s">
        <v>345</v>
      </c>
      <c r="C19" s="57" t="n">
        <f aca="false">(Supuestos!$C$201)*(1+Supuestos!$C$36)^3*Estacionalidad!C$13+Programas!C$31</f>
        <v>1042646253.56831</v>
      </c>
      <c r="D19" s="57" t="n">
        <f aca="false">(Supuestos!$C$201)*(1+Supuestos!$C$36)^3*Estacionalidad!D$13+Programas!D$31</f>
        <v>1054981902.26889</v>
      </c>
      <c r="E19" s="57" t="n">
        <f aca="false">(Supuestos!$C$201)*(1+Supuestos!$C$36)^3*Estacionalidad!E$13+Programas!E$31</f>
        <v>1079653199.67005</v>
      </c>
      <c r="F19" s="57" t="n">
        <f aca="false">(Supuestos!$C$201)*(1+Supuestos!$C$36)^3*Estacionalidad!F$13+Programas!F$31</f>
        <v>1079653199.67005</v>
      </c>
      <c r="G19" s="57" t="n">
        <f aca="false">(Supuestos!$C$201)*(1+Supuestos!$C$36)^3*Estacionalidad!G$13+Programas!G$31</f>
        <v>1079653199.67005</v>
      </c>
      <c r="H19" s="57" t="n">
        <f aca="false">(Supuestos!$C$201)*(1+Supuestos!$C$36)^3*Estacionalidad!H$13+Programas!H$31</f>
        <v>1079653199.67005</v>
      </c>
      <c r="I19" s="57" t="n">
        <f aca="false">(Supuestos!$C$201)*(1+Supuestos!$C$36)^3*Estacionalidad!I$13+Programas!I$31</f>
        <v>1079653199.67005</v>
      </c>
      <c r="J19" s="57" t="n">
        <f aca="false">(Supuestos!$C$201)*(1+Supuestos!$C$36)^3*Estacionalidad!J$13+Programas!J$31</f>
        <v>1079653199.67005</v>
      </c>
      <c r="K19" s="57" t="n">
        <f aca="false">(Supuestos!$C$201)*(1+Supuestos!$C$36)^3*Estacionalidad!K$13+Programas!K$31</f>
        <v>1079653199.67005</v>
      </c>
      <c r="L19" s="57" t="n">
        <f aca="false">(Supuestos!$C$201)*(1+Supuestos!$C$36)^3*Estacionalidad!L$13+Programas!L$31</f>
        <v>1079653199.67005</v>
      </c>
      <c r="M19" s="57" t="n">
        <f aca="false">(Supuestos!$C$201)*(1+Supuestos!$C$36)^3*Estacionalidad!M$13+Programas!M$31</f>
        <v>1079653199.67005</v>
      </c>
      <c r="N19" s="57" t="n">
        <f aca="false">(Supuestos!$C$201)*(1+Supuestos!$C$36)^3*Estacionalidad!N$13+Programas!N$31</f>
        <v>1042646253.56831</v>
      </c>
      <c r="O19" s="57" t="n">
        <f aca="false">(Supuestos!$C$201)*(1+Supuestos!$C$36)^4*Estacionalidad!C$13+Programas!O$31</f>
        <v>1108515236.29454</v>
      </c>
      <c r="P19" s="57" t="n">
        <f aca="false">(Supuestos!$C$201)*(1+Supuestos!$C$36)^4*Estacionalidad!D$13+Programas!P$31</f>
        <v>1120850884.99512</v>
      </c>
      <c r="Q19" s="57" t="n">
        <f aca="false">(Supuestos!$C$201)*(1+Supuestos!$C$36)^4*Estacionalidad!E$13+Programas!Q$31</f>
        <v>1145522182.39628</v>
      </c>
      <c r="R19" s="57" t="n">
        <f aca="false">(Supuestos!$C$201)*(1+Supuestos!$C$36)^4*Estacionalidad!F$13+Programas!R$31</f>
        <v>1145522182.39628</v>
      </c>
      <c r="S19" s="57" t="n">
        <f aca="false">(Supuestos!$C$201)*(1+Supuestos!$C$36)^4*Estacionalidad!G$13+Programas!S$31</f>
        <v>1145522182.39628</v>
      </c>
      <c r="T19" s="57" t="n">
        <f aca="false">(Supuestos!$C$201)*(1+Supuestos!$C$36)^4*Estacionalidad!H$13+Programas!T$31</f>
        <v>1145522182.39628</v>
      </c>
      <c r="U19" s="57" t="n">
        <f aca="false">(Supuestos!$C$201)*(1+Supuestos!$C$36)^4*Estacionalidad!I$13+Programas!U$31</f>
        <v>1145522182.39628</v>
      </c>
      <c r="V19" s="57" t="n">
        <f aca="false">(Supuestos!$C$201)*(1+Supuestos!$C$36)^4*Estacionalidad!J$13+Programas!V$31</f>
        <v>1145522182.39628</v>
      </c>
      <c r="W19" s="57" t="n">
        <f aca="false">(Supuestos!$C$201)*(1+Supuestos!$C$36)^4*Estacionalidad!K$13+Programas!W$31</f>
        <v>1145522182.39628</v>
      </c>
      <c r="X19" s="57" t="n">
        <f aca="false">(Supuestos!$C$201)*(1+Supuestos!$C$36)^4*Estacionalidad!L$13+Programas!X$31</f>
        <v>1145522182.39628</v>
      </c>
      <c r="Y19" s="57" t="n">
        <f aca="false">(Supuestos!$C$201)*(1+Supuestos!$C$36)^4*Estacionalidad!M$13+Programas!Y$31</f>
        <v>1145522182.39628</v>
      </c>
      <c r="Z19" s="57" t="n">
        <f aca="false">(Supuestos!$C$201)*(1+Supuestos!$C$36)^4*Estacionalidad!N$13+Programas!Z$31</f>
        <v>1108515236.29454</v>
      </c>
      <c r="AA19" s="57" t="n">
        <f aca="false">(Supuestos!$C$201)*(1+Supuestos!$C$36)^5*Estacionalidad!C$13+Programas!AA$31</f>
        <v>1168725186.79099</v>
      </c>
      <c r="AB19" s="57" t="n">
        <f aca="false">(Supuestos!$C$201)*(1+Supuestos!$C$36)^5*Estacionalidad!D$13+Programas!AB$31</f>
        <v>1181060835.49157</v>
      </c>
      <c r="AC19" s="57" t="n">
        <f aca="false">(Supuestos!$C$201)*(1+Supuestos!$C$36)^5*Estacionalidad!E$13+Programas!AC$31</f>
        <v>1205732132.89273</v>
      </c>
      <c r="AD19" s="57" t="n">
        <f aca="false">(Supuestos!$C$201)*(1+Supuestos!$C$36)^5*Estacionalidad!F$13+Programas!AD$31</f>
        <v>1205732132.89273</v>
      </c>
      <c r="AE19" s="57" t="n">
        <f aca="false">(Supuestos!$C$201)*(1+Supuestos!$C$36)^5*Estacionalidad!G$13+Programas!AE$31</f>
        <v>1205732132.89273</v>
      </c>
      <c r="AF19" s="57" t="n">
        <f aca="false">(Supuestos!$C$201)*(1+Supuestos!$C$36)^5*Estacionalidad!H$13+Programas!AF$31</f>
        <v>1205732132.89273</v>
      </c>
      <c r="AG19" s="57" t="n">
        <f aca="false">(Supuestos!$C$201)*(1+Supuestos!$C$36)^5*Estacionalidad!I$13+Programas!AG$31</f>
        <v>1205732132.89273</v>
      </c>
      <c r="AH19" s="57" t="n">
        <f aca="false">(Supuestos!$C$201)*(1+Supuestos!$C$36)^5*Estacionalidad!J$13+Programas!AH$31</f>
        <v>1205732132.89273</v>
      </c>
      <c r="AI19" s="57" t="n">
        <f aca="false">(Supuestos!$C$201)*(1+Supuestos!$C$36)^5*Estacionalidad!K$13+Programas!AI$31</f>
        <v>1205732132.89273</v>
      </c>
      <c r="AJ19" s="57" t="n">
        <f aca="false">(Supuestos!$C$201)*(1+Supuestos!$C$36)^5*Estacionalidad!L$13+Programas!AJ$31</f>
        <v>1205732132.89273</v>
      </c>
      <c r="AK19" s="57" t="n">
        <f aca="false">(Supuestos!$C$201)*(1+Supuestos!$C$36)^5*Estacionalidad!M$13+Programas!AK$31</f>
        <v>1205732132.89273</v>
      </c>
      <c r="AL19" s="57" t="n">
        <f aca="false">(Supuestos!$C$201)*(1+Supuestos!$C$36)^5*Estacionalidad!N$13+Programas!AL$31</f>
        <v>1168725186.79099</v>
      </c>
      <c r="AM19" s="57" t="n">
        <f aca="false">(Supuestos!$C$201)*(1+Supuestos!$C$36)^6*Estacionalidad!C$13+Programas!AM$31</f>
        <v>1187536217.73498</v>
      </c>
      <c r="AN19" s="57" t="n">
        <f aca="false">(Supuestos!$C$201)*(1+Supuestos!$C$36)^6*Estacionalidad!D$13+Programas!AN$31</f>
        <v>1199871866.43556</v>
      </c>
      <c r="AO19" s="57" t="n">
        <f aca="false">(Supuestos!$C$201)*(1+Supuestos!$C$36)^6*Estacionalidad!E$13+Programas!AO$31</f>
        <v>1224543163.83672</v>
      </c>
      <c r="AP19" s="57" t="n">
        <f aca="false">(Supuestos!$C$201)*(1+Supuestos!$C$36)^6*Estacionalidad!F$13+Programas!AP$31</f>
        <v>1224543163.83672</v>
      </c>
      <c r="AQ19" s="57" t="n">
        <f aca="false">(Supuestos!$C$201)*(1+Supuestos!$C$36)^6*Estacionalidad!G$13+Programas!AQ$31</f>
        <v>1224543163.83672</v>
      </c>
      <c r="AR19" s="57" t="n">
        <f aca="false">(Supuestos!$C$201)*(1+Supuestos!$C$36)^6*Estacionalidad!H$13+Programas!AR$31</f>
        <v>1224543163.83672</v>
      </c>
      <c r="AS19" s="57" t="n">
        <f aca="false">(Supuestos!$C$201)*(1+Supuestos!$C$36)^6*Estacionalidad!I$13+Programas!AS$31</f>
        <v>1224543163.83672</v>
      </c>
      <c r="AT19" s="57" t="n">
        <f aca="false">(Supuestos!$C$201)*(1+Supuestos!$C$36)^6*Estacionalidad!J$13+Programas!AT$31</f>
        <v>1224543163.83672</v>
      </c>
      <c r="AU19" s="57" t="n">
        <f aca="false">(Supuestos!$C$201)*(1+Supuestos!$C$36)^6*Estacionalidad!K$13+Programas!AU$31</f>
        <v>1224543163.83672</v>
      </c>
      <c r="AV19" s="57" t="n">
        <f aca="false">(Supuestos!$C$201)*(1+Supuestos!$C$36)^6*Estacionalidad!L$13+Programas!AV$31</f>
        <v>1224543163.83672</v>
      </c>
      <c r="AW19" s="57" t="n">
        <f aca="false">(Supuestos!$C$201)*(1+Supuestos!$C$36)^6*Estacionalidad!M$13+Programas!AW$31</f>
        <v>1224543163.83672</v>
      </c>
      <c r="AX19" s="57" t="n">
        <f aca="false">(Supuestos!$C$201)*(1+Supuestos!$C$36)^6*Estacionalidad!N$13+Programas!AX$31</f>
        <v>1187536217.73498</v>
      </c>
      <c r="AY19" s="57" t="n">
        <f aca="false">(Supuestos!$C$201)*(1+Supuestos!$C$36)^7*Estacionalidad!C$13+Programas!AY$31</f>
        <v>1187536217.73498</v>
      </c>
      <c r="AZ19" s="57" t="n">
        <f aca="false">(Supuestos!$C$201)*(1+Supuestos!$C$36)^7*Estacionalidad!D$13+Programas!AZ$31</f>
        <v>1199871866.43556</v>
      </c>
      <c r="BA19" s="57" t="n">
        <f aca="false">(Supuestos!$C$201)*(1+Supuestos!$C$36)^7*Estacionalidad!E$13+Programas!BA$31</f>
        <v>1224543163.83672</v>
      </c>
      <c r="BB19" s="57" t="n">
        <f aca="false">(Supuestos!$C$201)*(1+Supuestos!$C$36)^7*Estacionalidad!F$13+Programas!BB$31</f>
        <v>1224543163.83672</v>
      </c>
      <c r="BC19" s="57" t="n">
        <f aca="false">(Supuestos!$C$201)*(1+Supuestos!$C$36)^7*Estacionalidad!G$13+Programas!BC$31</f>
        <v>1224543163.83672</v>
      </c>
      <c r="BD19" s="57" t="n">
        <f aca="false">(Supuestos!$C$201)*(1+Supuestos!$C$36)^7*Estacionalidad!H$13+Programas!BD$31</f>
        <v>1224543163.83672</v>
      </c>
      <c r="BE19" s="57" t="n">
        <f aca="false">(Supuestos!$C$201)*(1+Supuestos!$C$36)^7*Estacionalidad!I$13+Programas!BE$31</f>
        <v>1224543163.83672</v>
      </c>
      <c r="BF19" s="57" t="n">
        <f aca="false">(Supuestos!$C$201)*(1+Supuestos!$C$36)^7*Estacionalidad!J$13+Programas!BF$31</f>
        <v>1224543163.83672</v>
      </c>
      <c r="BG19" s="57" t="n">
        <f aca="false">(Supuestos!$C$201)*(1+Supuestos!$C$36)^7*Estacionalidad!K$13+Programas!BG$31</f>
        <v>1224543163.83672</v>
      </c>
      <c r="BH19" s="57" t="n">
        <f aca="false">(Supuestos!$C$201)*(1+Supuestos!$C$36)^7*Estacionalidad!L$13+Programas!BH$31</f>
        <v>1224543163.83672</v>
      </c>
      <c r="BI19" s="57" t="n">
        <f aca="false">(Supuestos!$C$201)*(1+Supuestos!$C$36)^7*Estacionalidad!M$13+Programas!BI$31</f>
        <v>1224543163.83672</v>
      </c>
      <c r="BJ19" s="57" t="n">
        <f aca="false">(Supuestos!$C$201)*(1+Supuestos!$C$36)^7*Estacionalidad!N$13+Programas!BJ$31</f>
        <v>1187536217.73498</v>
      </c>
      <c r="BK19" s="57" t="n">
        <f aca="false">(Supuestos!$C$201)*(1+Supuestos!$C$36)^8*Estacionalidad!C$13+Programas!BK$31</f>
        <v>1187536217.73498</v>
      </c>
      <c r="BL19" s="57" t="n">
        <f aca="false">(Supuestos!$C$201)*(1+Supuestos!$C$36)^8*Estacionalidad!D$13+Programas!BL$31</f>
        <v>1199871866.43556</v>
      </c>
      <c r="BM19" s="57" t="n">
        <f aca="false">(Supuestos!$C$201)*(1+Supuestos!$C$36)^8*Estacionalidad!E$13+Programas!BM$31</f>
        <v>1224543163.83672</v>
      </c>
      <c r="BN19" s="57" t="n">
        <f aca="false">(Supuestos!$C$201)*(1+Supuestos!$C$36)^8*Estacionalidad!F$13+Programas!BN$31</f>
        <v>1224543163.83672</v>
      </c>
      <c r="BO19" s="57" t="n">
        <f aca="false">(Supuestos!$C$201)*(1+Supuestos!$C$36)^8*Estacionalidad!G$13+Programas!BO$31</f>
        <v>1224543163.83672</v>
      </c>
      <c r="BP19" s="57" t="n">
        <f aca="false">(Supuestos!$C$201)*(1+Supuestos!$C$36)^8*Estacionalidad!H$13+Programas!BP$31</f>
        <v>1224543163.83672</v>
      </c>
      <c r="BQ19" s="57" t="n">
        <f aca="false">(Supuestos!$C$201)*(1+Supuestos!$C$36)^8*Estacionalidad!I$13+Programas!BQ$31</f>
        <v>1224543163.83672</v>
      </c>
      <c r="BR19" s="57" t="n">
        <f aca="false">(Supuestos!$C$201)*(1+Supuestos!$C$36)^8*Estacionalidad!J$13+Programas!BR$31</f>
        <v>1224543163.83672</v>
      </c>
      <c r="BS19" s="57" t="n">
        <f aca="false">(Supuestos!$C$201)*(1+Supuestos!$C$36)^8*Estacionalidad!K$13+Programas!BS$31</f>
        <v>1224543163.83672</v>
      </c>
      <c r="BT19" s="57" t="n">
        <f aca="false">(Supuestos!$C$201)*(1+Supuestos!$C$36)^8*Estacionalidad!L$13+Programas!BT$31</f>
        <v>1224543163.83672</v>
      </c>
      <c r="BU19" s="57" t="n">
        <f aca="false">(Supuestos!$C$201)*(1+Supuestos!$C$36)^8*Estacionalidad!M$13+Programas!BU$31</f>
        <v>1224543163.83672</v>
      </c>
      <c r="BV19" s="57" t="n">
        <f aca="false">(Supuestos!$C$201)*(1+Supuestos!$C$36)^8*Estacionalidad!N$13+Programas!BV$31</f>
        <v>1187536217.73498</v>
      </c>
      <c r="BW19" s="57" t="n">
        <f aca="false">(Supuestos!$C$201)*(1+Supuestos!$C$36)^9*Estacionalidad!C$13+Programas!BW$31</f>
        <v>1187536217.73498</v>
      </c>
      <c r="BX19" s="57" t="n">
        <f aca="false">(Supuestos!$C$201)*(1+Supuestos!$C$36)^9*Estacionalidad!D$13+Programas!BX$31</f>
        <v>1199871866.43556</v>
      </c>
      <c r="BY19" s="57" t="n">
        <f aca="false">(Supuestos!$C$201)*(1+Supuestos!$C$36)^9*Estacionalidad!E$13+Programas!BY$31</f>
        <v>1224543163.83672</v>
      </c>
      <c r="BZ19" s="57" t="n">
        <f aca="false">(Supuestos!$C$201)*(1+Supuestos!$C$36)^9*Estacionalidad!F$13+Programas!BZ$31</f>
        <v>1224543163.83672</v>
      </c>
      <c r="CA19" s="57" t="n">
        <f aca="false">(Supuestos!$C$201)*(1+Supuestos!$C$36)^9*Estacionalidad!G$13+Programas!CA$31</f>
        <v>1224543163.83672</v>
      </c>
      <c r="CB19" s="57" t="n">
        <f aca="false">(Supuestos!$C$201)*(1+Supuestos!$C$36)^9*Estacionalidad!H$13+Programas!CB$31</f>
        <v>1224543163.83672</v>
      </c>
      <c r="CC19" s="57" t="n">
        <f aca="false">(Supuestos!$C$201)*(1+Supuestos!$C$36)^9*Estacionalidad!I$13+Programas!CC$31</f>
        <v>1224543163.83672</v>
      </c>
      <c r="CD19" s="57" t="n">
        <f aca="false">(Supuestos!$C$201)*(1+Supuestos!$C$36)^9*Estacionalidad!J$13+Programas!CD$31</f>
        <v>1224543163.83672</v>
      </c>
      <c r="CE19" s="57" t="n">
        <f aca="false">(Supuestos!$C$201)*(1+Supuestos!$C$36)^9*Estacionalidad!K$13+Programas!CE$31</f>
        <v>1224543163.83672</v>
      </c>
      <c r="CF19" s="57" t="n">
        <f aca="false">(Supuestos!$C$201)*(1+Supuestos!$C$36)^9*Estacionalidad!L$13+Programas!CF$31</f>
        <v>1224543163.83672</v>
      </c>
      <c r="CG19" s="57" t="n">
        <f aca="false">(Supuestos!$C$201)*(1+Supuestos!$C$36)^9*Estacionalidad!M$13+Programas!CG$31</f>
        <v>1224543163.83672</v>
      </c>
      <c r="CH19" s="57" t="n">
        <f aca="false">(Supuestos!$C$201)*(1+Supuestos!$C$36)^9*Estacionalidad!N$13+Programas!CH$31</f>
        <v>1187536217.73498</v>
      </c>
      <c r="CI19" s="57" t="n">
        <f aca="false">(Supuestos!$C$201)*(1+Supuestos!$C$36)^10*Estacionalidad!C$13+Programas!CI$31</f>
        <v>1187536217.73498</v>
      </c>
      <c r="CJ19" s="57" t="n">
        <f aca="false">(Supuestos!$C$201)*(1+Supuestos!$C$36)^10*Estacionalidad!D$13+Programas!CJ$31</f>
        <v>1199871866.43556</v>
      </c>
      <c r="CK19" s="57" t="n">
        <f aca="false">(Supuestos!$C$201)*(1+Supuestos!$C$36)^10*Estacionalidad!E$13+Programas!CK$31</f>
        <v>1224543163.83672</v>
      </c>
      <c r="CL19" s="57" t="n">
        <f aca="false">(Supuestos!$C$201)*(1+Supuestos!$C$36)^10*Estacionalidad!F$13+Programas!CL$31</f>
        <v>1224543163.83672</v>
      </c>
      <c r="CM19" s="57" t="n">
        <f aca="false">(Supuestos!$C$201)*(1+Supuestos!$C$36)^10*Estacionalidad!G$13+Programas!CM$31</f>
        <v>1224543163.83672</v>
      </c>
      <c r="CN19" s="57" t="n">
        <f aca="false">(Supuestos!$C$201)*(1+Supuestos!$C$36)^10*Estacionalidad!H$13+Programas!CN$31</f>
        <v>1224543163.83672</v>
      </c>
      <c r="CO19" s="57" t="n">
        <f aca="false">(Supuestos!$C$201)*(1+Supuestos!$C$36)^10*Estacionalidad!I$13+Programas!CO$31</f>
        <v>1224543163.83672</v>
      </c>
      <c r="CP19" s="57" t="n">
        <f aca="false">(Supuestos!$C$201)*(1+Supuestos!$C$36)^10*Estacionalidad!J$13+Programas!CP$31</f>
        <v>1224543163.83672</v>
      </c>
      <c r="CQ19" s="57" t="n">
        <f aca="false">(Supuestos!$C$201)*(1+Supuestos!$C$36)^10*Estacionalidad!K$13+Programas!CQ$31</f>
        <v>1224543163.83672</v>
      </c>
      <c r="CR19" s="57" t="n">
        <f aca="false">(Supuestos!$C$201)*(1+Supuestos!$C$36)^10*Estacionalidad!L$13+Programas!CR$31</f>
        <v>1224543163.83672</v>
      </c>
      <c r="CS19" s="57" t="n">
        <f aca="false">(Supuestos!$C$201)*(1+Supuestos!$C$36)^10*Estacionalidad!M$13+Programas!CS$31</f>
        <v>1224543163.83672</v>
      </c>
      <c r="CT19" s="57" t="n">
        <f aca="false">(Supuestos!$C$201)*(1+Supuestos!$C$36)^10*Estacionalidad!N$13+Programas!CT$31</f>
        <v>1187536217.73498</v>
      </c>
    </row>
    <row r="20" customFormat="false" ht="15" hidden="false" customHeight="true" outlineLevel="0" collapsed="false">
      <c r="B20" s="19" t="s">
        <v>346</v>
      </c>
      <c r="C20" s="57" t="n">
        <f aca="false">(Supuestos!$C$202)*(1+Supuestos!$C$36)^3*Estacionalidad!C$13</f>
        <v>268934240.08431</v>
      </c>
      <c r="D20" s="57" t="n">
        <f aca="false">(Supuestos!$C$202)*(1+Supuestos!$C$36)^3*Estacionalidad!D$13</f>
        <v>272254415.88782</v>
      </c>
      <c r="E20" s="57" t="n">
        <f aca="false">(Supuestos!$C$202)*(1+Supuestos!$C$36)^3*Estacionalidad!E$13</f>
        <v>278894767.49484</v>
      </c>
      <c r="F20" s="57" t="n">
        <f aca="false">(Supuestos!$C$202)*(1+Supuestos!$C$36)^3*Estacionalidad!F$13</f>
        <v>278894767.49484</v>
      </c>
      <c r="G20" s="57" t="n">
        <f aca="false">(Supuestos!$C$202)*(1+Supuestos!$C$36)^3*Estacionalidad!G$13</f>
        <v>278894767.49484</v>
      </c>
      <c r="H20" s="57" t="n">
        <f aca="false">(Supuestos!$C$202)*(1+Supuestos!$C$36)^3*Estacionalidad!H$13</f>
        <v>278894767.49484</v>
      </c>
      <c r="I20" s="57" t="n">
        <f aca="false">(Supuestos!$C$202)*(1+Supuestos!$C$36)^3*Estacionalidad!I$13</f>
        <v>278894767.49484</v>
      </c>
      <c r="J20" s="57" t="n">
        <f aca="false">(Supuestos!$C$202)*(1+Supuestos!$C$36)^3*Estacionalidad!J$13</f>
        <v>278894767.49484</v>
      </c>
      <c r="K20" s="57" t="n">
        <f aca="false">(Supuestos!$C$202)*(1+Supuestos!$C$36)^3*Estacionalidad!K$13</f>
        <v>278894767.49484</v>
      </c>
      <c r="L20" s="57" t="n">
        <f aca="false">(Supuestos!$C$202)*(1+Supuestos!$C$36)^3*Estacionalidad!L$13</f>
        <v>278894767.49484</v>
      </c>
      <c r="M20" s="57" t="n">
        <f aca="false">(Supuestos!$C$202)*(1+Supuestos!$C$36)^3*Estacionalidad!M$13</f>
        <v>278894767.49484</v>
      </c>
      <c r="N20" s="57" t="n">
        <f aca="false">(Supuestos!$C$202)*(1+Supuestos!$C$36)^3*Estacionalidad!N$13</f>
        <v>268934240.08431</v>
      </c>
      <c r="O20" s="57" t="n">
        <f aca="false">(Supuestos!$C$202)*(1+Supuestos!$C$36)^4*Estacionalidad!C$13</f>
        <v>268934240.08431</v>
      </c>
      <c r="P20" s="57" t="n">
        <f aca="false">(Supuestos!$C$202)*(1+Supuestos!$C$36)^4*Estacionalidad!D$13</f>
        <v>272254415.88782</v>
      </c>
      <c r="Q20" s="57" t="n">
        <f aca="false">(Supuestos!$C$202)*(1+Supuestos!$C$36)^4*Estacionalidad!E$13</f>
        <v>278894767.49484</v>
      </c>
      <c r="R20" s="57" t="n">
        <f aca="false">(Supuestos!$C$202)*(1+Supuestos!$C$36)^4*Estacionalidad!F$13</f>
        <v>278894767.49484</v>
      </c>
      <c r="S20" s="57" t="n">
        <f aca="false">(Supuestos!$C$202)*(1+Supuestos!$C$36)^4*Estacionalidad!G$13</f>
        <v>278894767.49484</v>
      </c>
      <c r="T20" s="57" t="n">
        <f aca="false">(Supuestos!$C$202)*(1+Supuestos!$C$36)^4*Estacionalidad!H$13</f>
        <v>278894767.49484</v>
      </c>
      <c r="U20" s="57" t="n">
        <f aca="false">(Supuestos!$C$202)*(1+Supuestos!$C$36)^4*Estacionalidad!I$13</f>
        <v>278894767.49484</v>
      </c>
      <c r="V20" s="57" t="n">
        <f aca="false">(Supuestos!$C$202)*(1+Supuestos!$C$36)^4*Estacionalidad!J$13</f>
        <v>278894767.49484</v>
      </c>
      <c r="W20" s="57" t="n">
        <f aca="false">(Supuestos!$C$202)*(1+Supuestos!$C$36)^4*Estacionalidad!K$13</f>
        <v>278894767.49484</v>
      </c>
      <c r="X20" s="57" t="n">
        <f aca="false">(Supuestos!$C$202)*(1+Supuestos!$C$36)^4*Estacionalidad!L$13</f>
        <v>278894767.49484</v>
      </c>
      <c r="Y20" s="57" t="n">
        <f aca="false">(Supuestos!$C$202)*(1+Supuestos!$C$36)^4*Estacionalidad!M$13</f>
        <v>278894767.49484</v>
      </c>
      <c r="Z20" s="57" t="n">
        <f aca="false">(Supuestos!$C$202)*(1+Supuestos!$C$36)^4*Estacionalidad!N$13</f>
        <v>268934240.08431</v>
      </c>
      <c r="AA20" s="57" t="n">
        <f aca="false">(Supuestos!$C$202)*(1+Supuestos!$C$36)^5*Estacionalidad!C$13</f>
        <v>268934240.08431</v>
      </c>
      <c r="AB20" s="57" t="n">
        <f aca="false">(Supuestos!$C$202)*(1+Supuestos!$C$36)^5*Estacionalidad!D$13</f>
        <v>272254415.88782</v>
      </c>
      <c r="AC20" s="57" t="n">
        <f aca="false">(Supuestos!$C$202)*(1+Supuestos!$C$36)^5*Estacionalidad!E$13</f>
        <v>278894767.49484</v>
      </c>
      <c r="AD20" s="57" t="n">
        <f aca="false">(Supuestos!$C$202)*(1+Supuestos!$C$36)^5*Estacionalidad!F$13</f>
        <v>278894767.49484</v>
      </c>
      <c r="AE20" s="57" t="n">
        <f aca="false">(Supuestos!$C$202)*(1+Supuestos!$C$36)^5*Estacionalidad!G$13</f>
        <v>278894767.49484</v>
      </c>
      <c r="AF20" s="57" t="n">
        <f aca="false">(Supuestos!$C$202)*(1+Supuestos!$C$36)^5*Estacionalidad!H$13</f>
        <v>278894767.49484</v>
      </c>
      <c r="AG20" s="57" t="n">
        <f aca="false">(Supuestos!$C$202)*(1+Supuestos!$C$36)^5*Estacionalidad!I$13</f>
        <v>278894767.49484</v>
      </c>
      <c r="AH20" s="57" t="n">
        <f aca="false">(Supuestos!$C$202)*(1+Supuestos!$C$36)^5*Estacionalidad!J$13</f>
        <v>278894767.49484</v>
      </c>
      <c r="AI20" s="57" t="n">
        <f aca="false">(Supuestos!$C$202)*(1+Supuestos!$C$36)^5*Estacionalidad!K$13</f>
        <v>278894767.49484</v>
      </c>
      <c r="AJ20" s="57" t="n">
        <f aca="false">(Supuestos!$C$202)*(1+Supuestos!$C$36)^5*Estacionalidad!L$13</f>
        <v>278894767.49484</v>
      </c>
      <c r="AK20" s="57" t="n">
        <f aca="false">(Supuestos!$C$202)*(1+Supuestos!$C$36)^5*Estacionalidad!M$13</f>
        <v>278894767.49484</v>
      </c>
      <c r="AL20" s="57" t="n">
        <f aca="false">(Supuestos!$C$202)*(1+Supuestos!$C$36)^5*Estacionalidad!N$13</f>
        <v>268934240.08431</v>
      </c>
      <c r="AM20" s="57" t="n">
        <f aca="false">(Supuestos!$C$202)*(1+Supuestos!$C$36)^6*Estacionalidad!C$13</f>
        <v>268934240.08431</v>
      </c>
      <c r="AN20" s="57" t="n">
        <f aca="false">(Supuestos!$C$202)*(1+Supuestos!$C$36)^6*Estacionalidad!D$13</f>
        <v>272254415.88782</v>
      </c>
      <c r="AO20" s="57" t="n">
        <f aca="false">(Supuestos!$C$202)*(1+Supuestos!$C$36)^6*Estacionalidad!E$13</f>
        <v>278894767.49484</v>
      </c>
      <c r="AP20" s="57" t="n">
        <f aca="false">(Supuestos!$C$202)*(1+Supuestos!$C$36)^6*Estacionalidad!F$13</f>
        <v>278894767.49484</v>
      </c>
      <c r="AQ20" s="57" t="n">
        <f aca="false">(Supuestos!$C$202)*(1+Supuestos!$C$36)^6*Estacionalidad!G$13</f>
        <v>278894767.49484</v>
      </c>
      <c r="AR20" s="57" t="n">
        <f aca="false">(Supuestos!$C$202)*(1+Supuestos!$C$36)^6*Estacionalidad!H$13</f>
        <v>278894767.49484</v>
      </c>
      <c r="AS20" s="57" t="n">
        <f aca="false">(Supuestos!$C$202)*(1+Supuestos!$C$36)^6*Estacionalidad!I$13</f>
        <v>278894767.49484</v>
      </c>
      <c r="AT20" s="57" t="n">
        <f aca="false">(Supuestos!$C$202)*(1+Supuestos!$C$36)^6*Estacionalidad!J$13</f>
        <v>278894767.49484</v>
      </c>
      <c r="AU20" s="57" t="n">
        <f aca="false">(Supuestos!$C$202)*(1+Supuestos!$C$36)^6*Estacionalidad!K$13</f>
        <v>278894767.49484</v>
      </c>
      <c r="AV20" s="57" t="n">
        <f aca="false">(Supuestos!$C$202)*(1+Supuestos!$C$36)^6*Estacionalidad!L$13</f>
        <v>278894767.49484</v>
      </c>
      <c r="AW20" s="57" t="n">
        <f aca="false">(Supuestos!$C$202)*(1+Supuestos!$C$36)^6*Estacionalidad!M$13</f>
        <v>278894767.49484</v>
      </c>
      <c r="AX20" s="57" t="n">
        <f aca="false">(Supuestos!$C$202)*(1+Supuestos!$C$36)^6*Estacionalidad!N$13</f>
        <v>268934240.08431</v>
      </c>
      <c r="AY20" s="57" t="n">
        <f aca="false">(Supuestos!$C$202)*(1+Supuestos!$C$36)^7*Estacionalidad!C$13</f>
        <v>268934240.08431</v>
      </c>
      <c r="AZ20" s="57" t="n">
        <f aca="false">(Supuestos!$C$202)*(1+Supuestos!$C$36)^7*Estacionalidad!D$13</f>
        <v>272254415.88782</v>
      </c>
      <c r="BA20" s="57" t="n">
        <f aca="false">(Supuestos!$C$202)*(1+Supuestos!$C$36)^7*Estacionalidad!E$13</f>
        <v>278894767.49484</v>
      </c>
      <c r="BB20" s="57" t="n">
        <f aca="false">(Supuestos!$C$202)*(1+Supuestos!$C$36)^7*Estacionalidad!F$13</f>
        <v>278894767.49484</v>
      </c>
      <c r="BC20" s="57" t="n">
        <f aca="false">(Supuestos!$C$202)*(1+Supuestos!$C$36)^7*Estacionalidad!G$13</f>
        <v>278894767.49484</v>
      </c>
      <c r="BD20" s="57" t="n">
        <f aca="false">(Supuestos!$C$202)*(1+Supuestos!$C$36)^7*Estacionalidad!H$13</f>
        <v>278894767.49484</v>
      </c>
      <c r="BE20" s="57" t="n">
        <f aca="false">(Supuestos!$C$202)*(1+Supuestos!$C$36)^7*Estacionalidad!I$13</f>
        <v>278894767.49484</v>
      </c>
      <c r="BF20" s="57" t="n">
        <f aca="false">(Supuestos!$C$202)*(1+Supuestos!$C$36)^7*Estacionalidad!J$13</f>
        <v>278894767.49484</v>
      </c>
      <c r="BG20" s="57" t="n">
        <f aca="false">(Supuestos!$C$202)*(1+Supuestos!$C$36)^7*Estacionalidad!K$13</f>
        <v>278894767.49484</v>
      </c>
      <c r="BH20" s="57" t="n">
        <f aca="false">(Supuestos!$C$202)*(1+Supuestos!$C$36)^7*Estacionalidad!L$13</f>
        <v>278894767.49484</v>
      </c>
      <c r="BI20" s="57" t="n">
        <f aca="false">(Supuestos!$C$202)*(1+Supuestos!$C$36)^7*Estacionalidad!M$13</f>
        <v>278894767.49484</v>
      </c>
      <c r="BJ20" s="57" t="n">
        <f aca="false">(Supuestos!$C$202)*(1+Supuestos!$C$36)^7*Estacionalidad!N$13</f>
        <v>268934240.08431</v>
      </c>
      <c r="BK20" s="57" t="n">
        <f aca="false">(Supuestos!$C$202)*(1+Supuestos!$C$36)^8*Estacionalidad!C$13</f>
        <v>268934240.08431</v>
      </c>
      <c r="BL20" s="57" t="n">
        <f aca="false">(Supuestos!$C$202)*(1+Supuestos!$C$36)^8*Estacionalidad!D$13</f>
        <v>272254415.88782</v>
      </c>
      <c r="BM20" s="57" t="n">
        <f aca="false">(Supuestos!$C$202)*(1+Supuestos!$C$36)^8*Estacionalidad!E$13</f>
        <v>278894767.49484</v>
      </c>
      <c r="BN20" s="57" t="n">
        <f aca="false">(Supuestos!$C$202)*(1+Supuestos!$C$36)^8*Estacionalidad!F$13</f>
        <v>278894767.49484</v>
      </c>
      <c r="BO20" s="57" t="n">
        <f aca="false">(Supuestos!$C$202)*(1+Supuestos!$C$36)^8*Estacionalidad!G$13</f>
        <v>278894767.49484</v>
      </c>
      <c r="BP20" s="57" t="n">
        <f aca="false">(Supuestos!$C$202)*(1+Supuestos!$C$36)^8*Estacionalidad!H$13</f>
        <v>278894767.49484</v>
      </c>
      <c r="BQ20" s="57" t="n">
        <f aca="false">(Supuestos!$C$202)*(1+Supuestos!$C$36)^8*Estacionalidad!I$13</f>
        <v>278894767.49484</v>
      </c>
      <c r="BR20" s="57" t="n">
        <f aca="false">(Supuestos!$C$202)*(1+Supuestos!$C$36)^8*Estacionalidad!J$13</f>
        <v>278894767.49484</v>
      </c>
      <c r="BS20" s="57" t="n">
        <f aca="false">(Supuestos!$C$202)*(1+Supuestos!$C$36)^8*Estacionalidad!K$13</f>
        <v>278894767.49484</v>
      </c>
      <c r="BT20" s="57" t="n">
        <f aca="false">(Supuestos!$C$202)*(1+Supuestos!$C$36)^8*Estacionalidad!L$13</f>
        <v>278894767.49484</v>
      </c>
      <c r="BU20" s="57" t="n">
        <f aca="false">(Supuestos!$C$202)*(1+Supuestos!$C$36)^8*Estacionalidad!M$13</f>
        <v>278894767.49484</v>
      </c>
      <c r="BV20" s="57" t="n">
        <f aca="false">(Supuestos!$C$202)*(1+Supuestos!$C$36)^8*Estacionalidad!N$13</f>
        <v>268934240.08431</v>
      </c>
      <c r="BW20" s="57" t="n">
        <f aca="false">(Supuestos!$C$202)*(1+Supuestos!$C$36)^9*Estacionalidad!C$13</f>
        <v>268934240.08431</v>
      </c>
      <c r="BX20" s="57" t="n">
        <f aca="false">(Supuestos!$C$202)*(1+Supuestos!$C$36)^9*Estacionalidad!D$13</f>
        <v>272254415.88782</v>
      </c>
      <c r="BY20" s="57" t="n">
        <f aca="false">(Supuestos!$C$202)*(1+Supuestos!$C$36)^9*Estacionalidad!E$13</f>
        <v>278894767.49484</v>
      </c>
      <c r="BZ20" s="57" t="n">
        <f aca="false">(Supuestos!$C$202)*(1+Supuestos!$C$36)^9*Estacionalidad!F$13</f>
        <v>278894767.49484</v>
      </c>
      <c r="CA20" s="57" t="n">
        <f aca="false">(Supuestos!$C$202)*(1+Supuestos!$C$36)^9*Estacionalidad!G$13</f>
        <v>278894767.49484</v>
      </c>
      <c r="CB20" s="57" t="n">
        <f aca="false">(Supuestos!$C$202)*(1+Supuestos!$C$36)^9*Estacionalidad!H$13</f>
        <v>278894767.49484</v>
      </c>
      <c r="CC20" s="57" t="n">
        <f aca="false">(Supuestos!$C$202)*(1+Supuestos!$C$36)^9*Estacionalidad!I$13</f>
        <v>278894767.49484</v>
      </c>
      <c r="CD20" s="57" t="n">
        <f aca="false">(Supuestos!$C$202)*(1+Supuestos!$C$36)^9*Estacionalidad!J$13</f>
        <v>278894767.49484</v>
      </c>
      <c r="CE20" s="57" t="n">
        <f aca="false">(Supuestos!$C$202)*(1+Supuestos!$C$36)^9*Estacionalidad!K$13</f>
        <v>278894767.49484</v>
      </c>
      <c r="CF20" s="57" t="n">
        <f aca="false">(Supuestos!$C$202)*(1+Supuestos!$C$36)^9*Estacionalidad!L$13</f>
        <v>278894767.49484</v>
      </c>
      <c r="CG20" s="57" t="n">
        <f aca="false">(Supuestos!$C$202)*(1+Supuestos!$C$36)^9*Estacionalidad!M$13</f>
        <v>278894767.49484</v>
      </c>
      <c r="CH20" s="57" t="n">
        <f aca="false">(Supuestos!$C$202)*(1+Supuestos!$C$36)^9*Estacionalidad!N$13</f>
        <v>268934240.08431</v>
      </c>
      <c r="CI20" s="57" t="n">
        <f aca="false">(Supuestos!$C$202)*(1+Supuestos!$C$36)^10*Estacionalidad!C$13</f>
        <v>268934240.08431</v>
      </c>
      <c r="CJ20" s="57" t="n">
        <f aca="false">(Supuestos!$C$202)*(1+Supuestos!$C$36)^10*Estacionalidad!D$13</f>
        <v>272254415.88782</v>
      </c>
      <c r="CK20" s="57" t="n">
        <f aca="false">(Supuestos!$C$202)*(1+Supuestos!$C$36)^10*Estacionalidad!E$13</f>
        <v>278894767.49484</v>
      </c>
      <c r="CL20" s="57" t="n">
        <f aca="false">(Supuestos!$C$202)*(1+Supuestos!$C$36)^10*Estacionalidad!F$13</f>
        <v>278894767.49484</v>
      </c>
      <c r="CM20" s="57" t="n">
        <f aca="false">(Supuestos!$C$202)*(1+Supuestos!$C$36)^10*Estacionalidad!G$13</f>
        <v>278894767.49484</v>
      </c>
      <c r="CN20" s="57" t="n">
        <f aca="false">(Supuestos!$C$202)*(1+Supuestos!$C$36)^10*Estacionalidad!H$13</f>
        <v>278894767.49484</v>
      </c>
      <c r="CO20" s="57" t="n">
        <f aca="false">(Supuestos!$C$202)*(1+Supuestos!$C$36)^10*Estacionalidad!I$13</f>
        <v>278894767.49484</v>
      </c>
      <c r="CP20" s="57" t="n">
        <f aca="false">(Supuestos!$C$202)*(1+Supuestos!$C$36)^10*Estacionalidad!J$13</f>
        <v>278894767.49484</v>
      </c>
      <c r="CQ20" s="57" t="n">
        <f aca="false">(Supuestos!$C$202)*(1+Supuestos!$C$36)^10*Estacionalidad!K$13</f>
        <v>278894767.49484</v>
      </c>
      <c r="CR20" s="57" t="n">
        <f aca="false">(Supuestos!$C$202)*(1+Supuestos!$C$36)^10*Estacionalidad!L$13</f>
        <v>278894767.49484</v>
      </c>
      <c r="CS20" s="57" t="n">
        <f aca="false">(Supuestos!$C$202)*(1+Supuestos!$C$36)^10*Estacionalidad!M$13</f>
        <v>278894767.49484</v>
      </c>
      <c r="CT20" s="57" t="n">
        <f aca="false">(Supuestos!$C$202)*(1+Supuestos!$C$36)^10*Estacionalidad!N$13</f>
        <v>268934240.08431</v>
      </c>
    </row>
    <row r="21" customFormat="false" ht="15" hidden="false" customHeight="true" outlineLevel="0" collapsed="false">
      <c r="B21" s="19" t="s">
        <v>347</v>
      </c>
      <c r="C21" s="57" t="n">
        <f aca="false">(Supuestos!$C$203)*(1+Supuestos!$C$36)^3*Estacionalidad!C$13</f>
        <v>5695134172.09128</v>
      </c>
      <c r="D21" s="57" t="n">
        <f aca="false">(Supuestos!$C$203)*(1+Supuestos!$C$36)^3*Estacionalidad!D$13</f>
        <v>5765444470.51216</v>
      </c>
      <c r="E21" s="57" t="n">
        <f aca="false">(Supuestos!$C$203)*(1+Supuestos!$C$36)^3*Estacionalidad!E$13</f>
        <v>5906065067.35392</v>
      </c>
      <c r="F21" s="57" t="n">
        <f aca="false">(Supuestos!$C$203)*(1+Supuestos!$C$36)^3*Estacionalidad!F$13</f>
        <v>5906065067.35392</v>
      </c>
      <c r="G21" s="57" t="n">
        <f aca="false">(Supuestos!$C$203)*(1+Supuestos!$C$36)^3*Estacionalidad!G$13</f>
        <v>5906065067.35392</v>
      </c>
      <c r="H21" s="57" t="n">
        <f aca="false">(Supuestos!$C$203)*(1+Supuestos!$C$36)^3*Estacionalidad!H$13</f>
        <v>5906065067.35392</v>
      </c>
      <c r="I21" s="57" t="n">
        <f aca="false">(Supuestos!$C$203)*(1+Supuestos!$C$36)^3*Estacionalidad!I$13</f>
        <v>5906065067.35392</v>
      </c>
      <c r="J21" s="57" t="n">
        <f aca="false">(Supuestos!$C$203)*(1+Supuestos!$C$36)^3*Estacionalidad!J$13</f>
        <v>5906065067.35392</v>
      </c>
      <c r="K21" s="57" t="n">
        <f aca="false">(Supuestos!$C$203)*(1+Supuestos!$C$36)^3*Estacionalidad!K$13</f>
        <v>5906065067.35392</v>
      </c>
      <c r="L21" s="57" t="n">
        <f aca="false">(Supuestos!$C$203)*(1+Supuestos!$C$36)^3*Estacionalidad!L$13</f>
        <v>5906065067.35392</v>
      </c>
      <c r="M21" s="57" t="n">
        <f aca="false">(Supuestos!$C$203)*(1+Supuestos!$C$36)^3*Estacionalidad!M$13</f>
        <v>5906065067.35392</v>
      </c>
      <c r="N21" s="57" t="n">
        <f aca="false">(Supuestos!$C$203)*(1+Supuestos!$C$36)^3*Estacionalidad!N$13</f>
        <v>5695134172.09128</v>
      </c>
      <c r="O21" s="57" t="n">
        <f aca="false">(Supuestos!$C$203)*(1+Supuestos!$C$36)^4*Estacionalidad!C$13</f>
        <v>5695134172.09128</v>
      </c>
      <c r="P21" s="57" t="n">
        <f aca="false">(Supuestos!$C$203)*(1+Supuestos!$C$36)^4*Estacionalidad!D$13</f>
        <v>5765444470.51216</v>
      </c>
      <c r="Q21" s="57" t="n">
        <f aca="false">(Supuestos!$C$203)*(1+Supuestos!$C$36)^4*Estacionalidad!E$13</f>
        <v>5906065067.35392</v>
      </c>
      <c r="R21" s="57" t="n">
        <f aca="false">(Supuestos!$C$203)*(1+Supuestos!$C$36)^4*Estacionalidad!F$13</f>
        <v>5906065067.35392</v>
      </c>
      <c r="S21" s="57" t="n">
        <f aca="false">(Supuestos!$C$203)*(1+Supuestos!$C$36)^4*Estacionalidad!G$13</f>
        <v>5906065067.35392</v>
      </c>
      <c r="T21" s="57" t="n">
        <f aca="false">(Supuestos!$C$203)*(1+Supuestos!$C$36)^4*Estacionalidad!H$13</f>
        <v>5906065067.35392</v>
      </c>
      <c r="U21" s="57" t="n">
        <f aca="false">(Supuestos!$C$203)*(1+Supuestos!$C$36)^4*Estacionalidad!I$13</f>
        <v>5906065067.35392</v>
      </c>
      <c r="V21" s="57" t="n">
        <f aca="false">(Supuestos!$C$203)*(1+Supuestos!$C$36)^4*Estacionalidad!J$13</f>
        <v>5906065067.35392</v>
      </c>
      <c r="W21" s="57" t="n">
        <f aca="false">(Supuestos!$C$203)*(1+Supuestos!$C$36)^4*Estacionalidad!K$13</f>
        <v>5906065067.35392</v>
      </c>
      <c r="X21" s="57" t="n">
        <f aca="false">(Supuestos!$C$203)*(1+Supuestos!$C$36)^4*Estacionalidad!L$13</f>
        <v>5906065067.35392</v>
      </c>
      <c r="Y21" s="57" t="n">
        <f aca="false">(Supuestos!$C$203)*(1+Supuestos!$C$36)^4*Estacionalidad!M$13</f>
        <v>5906065067.35392</v>
      </c>
      <c r="Z21" s="57" t="n">
        <f aca="false">(Supuestos!$C$203)*(1+Supuestos!$C$36)^4*Estacionalidad!N$13</f>
        <v>5695134172.09128</v>
      </c>
      <c r="AA21" s="57" t="n">
        <f aca="false">(Supuestos!$C$203)*(1+Supuestos!$C$36)^5*Estacionalidad!C$13</f>
        <v>5695134172.09128</v>
      </c>
      <c r="AB21" s="57" t="n">
        <f aca="false">(Supuestos!$C$203)*(1+Supuestos!$C$36)^5*Estacionalidad!D$13</f>
        <v>5765444470.51216</v>
      </c>
      <c r="AC21" s="57" t="n">
        <f aca="false">(Supuestos!$C$203)*(1+Supuestos!$C$36)^5*Estacionalidad!E$13</f>
        <v>5906065067.35392</v>
      </c>
      <c r="AD21" s="57" t="n">
        <f aca="false">(Supuestos!$C$203)*(1+Supuestos!$C$36)^5*Estacionalidad!F$13</f>
        <v>5906065067.35392</v>
      </c>
      <c r="AE21" s="57" t="n">
        <f aca="false">(Supuestos!$C$203)*(1+Supuestos!$C$36)^5*Estacionalidad!G$13</f>
        <v>5906065067.35392</v>
      </c>
      <c r="AF21" s="57" t="n">
        <f aca="false">(Supuestos!$C$203)*(1+Supuestos!$C$36)^5*Estacionalidad!H$13</f>
        <v>5906065067.35392</v>
      </c>
      <c r="AG21" s="57" t="n">
        <f aca="false">(Supuestos!$C$203)*(1+Supuestos!$C$36)^5*Estacionalidad!I$13</f>
        <v>5906065067.35392</v>
      </c>
      <c r="AH21" s="57" t="n">
        <f aca="false">(Supuestos!$C$203)*(1+Supuestos!$C$36)^5*Estacionalidad!J$13</f>
        <v>5906065067.35392</v>
      </c>
      <c r="AI21" s="57" t="n">
        <f aca="false">(Supuestos!$C$203)*(1+Supuestos!$C$36)^5*Estacionalidad!K$13</f>
        <v>5906065067.35392</v>
      </c>
      <c r="AJ21" s="57" t="n">
        <f aca="false">(Supuestos!$C$203)*(1+Supuestos!$C$36)^5*Estacionalidad!L$13</f>
        <v>5906065067.35392</v>
      </c>
      <c r="AK21" s="57" t="n">
        <f aca="false">(Supuestos!$C$203)*(1+Supuestos!$C$36)^5*Estacionalidad!M$13</f>
        <v>5906065067.35392</v>
      </c>
      <c r="AL21" s="57" t="n">
        <f aca="false">(Supuestos!$C$203)*(1+Supuestos!$C$36)^5*Estacionalidad!N$13</f>
        <v>5695134172.09128</v>
      </c>
      <c r="AM21" s="57" t="n">
        <f aca="false">(Supuestos!$C$203)*(1+Supuestos!$C$36)^6*Estacionalidad!C$13</f>
        <v>5695134172.09128</v>
      </c>
      <c r="AN21" s="57" t="n">
        <f aca="false">(Supuestos!$C$203)*(1+Supuestos!$C$36)^6*Estacionalidad!D$13</f>
        <v>5765444470.51216</v>
      </c>
      <c r="AO21" s="57" t="n">
        <f aca="false">(Supuestos!$C$203)*(1+Supuestos!$C$36)^6*Estacionalidad!E$13</f>
        <v>5906065067.35392</v>
      </c>
      <c r="AP21" s="57" t="n">
        <f aca="false">(Supuestos!$C$203)*(1+Supuestos!$C$36)^6*Estacionalidad!F$13</f>
        <v>5906065067.35392</v>
      </c>
      <c r="AQ21" s="57" t="n">
        <f aca="false">(Supuestos!$C$203)*(1+Supuestos!$C$36)^6*Estacionalidad!G$13</f>
        <v>5906065067.35392</v>
      </c>
      <c r="AR21" s="57" t="n">
        <f aca="false">(Supuestos!$C$203)*(1+Supuestos!$C$36)^6*Estacionalidad!H$13</f>
        <v>5906065067.35392</v>
      </c>
      <c r="AS21" s="57" t="n">
        <f aca="false">(Supuestos!$C$203)*(1+Supuestos!$C$36)^6*Estacionalidad!I$13</f>
        <v>5906065067.35392</v>
      </c>
      <c r="AT21" s="57" t="n">
        <f aca="false">(Supuestos!$C$203)*(1+Supuestos!$C$36)^6*Estacionalidad!J$13</f>
        <v>5906065067.35392</v>
      </c>
      <c r="AU21" s="57" t="n">
        <f aca="false">(Supuestos!$C$203)*(1+Supuestos!$C$36)^6*Estacionalidad!K$13</f>
        <v>5906065067.35392</v>
      </c>
      <c r="AV21" s="57" t="n">
        <f aca="false">(Supuestos!$C$203)*(1+Supuestos!$C$36)^6*Estacionalidad!L$13</f>
        <v>5906065067.35392</v>
      </c>
      <c r="AW21" s="57" t="n">
        <f aca="false">(Supuestos!$C$203)*(1+Supuestos!$C$36)^6*Estacionalidad!M$13</f>
        <v>5906065067.35392</v>
      </c>
      <c r="AX21" s="57" t="n">
        <f aca="false">(Supuestos!$C$203)*(1+Supuestos!$C$36)^6*Estacionalidad!N$13</f>
        <v>5695134172.09128</v>
      </c>
      <c r="AY21" s="57" t="n">
        <f aca="false">(Supuestos!$C$203)*(1+Supuestos!$C$36)^7*Estacionalidad!C$13</f>
        <v>5695134172.09128</v>
      </c>
      <c r="AZ21" s="57" t="n">
        <f aca="false">(Supuestos!$C$203)*(1+Supuestos!$C$36)^7*Estacionalidad!D$13</f>
        <v>5765444470.51216</v>
      </c>
      <c r="BA21" s="57" t="n">
        <f aca="false">(Supuestos!$C$203)*(1+Supuestos!$C$36)^7*Estacionalidad!E$13</f>
        <v>5906065067.35392</v>
      </c>
      <c r="BB21" s="57" t="n">
        <f aca="false">(Supuestos!$C$203)*(1+Supuestos!$C$36)^7*Estacionalidad!F$13</f>
        <v>5906065067.35392</v>
      </c>
      <c r="BC21" s="57" t="n">
        <f aca="false">(Supuestos!$C$203)*(1+Supuestos!$C$36)^7*Estacionalidad!G$13</f>
        <v>5906065067.35392</v>
      </c>
      <c r="BD21" s="57" t="n">
        <f aca="false">(Supuestos!$C$203)*(1+Supuestos!$C$36)^7*Estacionalidad!H$13</f>
        <v>5906065067.35392</v>
      </c>
      <c r="BE21" s="57" t="n">
        <f aca="false">(Supuestos!$C$203)*(1+Supuestos!$C$36)^7*Estacionalidad!I$13</f>
        <v>5906065067.35392</v>
      </c>
      <c r="BF21" s="57" t="n">
        <f aca="false">(Supuestos!$C$203)*(1+Supuestos!$C$36)^7*Estacionalidad!J$13</f>
        <v>5906065067.35392</v>
      </c>
      <c r="BG21" s="57" t="n">
        <f aca="false">(Supuestos!$C$203)*(1+Supuestos!$C$36)^7*Estacionalidad!K$13</f>
        <v>5906065067.35392</v>
      </c>
      <c r="BH21" s="57" t="n">
        <f aca="false">(Supuestos!$C$203)*(1+Supuestos!$C$36)^7*Estacionalidad!L$13</f>
        <v>5906065067.35392</v>
      </c>
      <c r="BI21" s="57" t="n">
        <f aca="false">(Supuestos!$C$203)*(1+Supuestos!$C$36)^7*Estacionalidad!M$13</f>
        <v>5906065067.35392</v>
      </c>
      <c r="BJ21" s="57" t="n">
        <f aca="false">(Supuestos!$C$203)*(1+Supuestos!$C$36)^7*Estacionalidad!N$13</f>
        <v>5695134172.09128</v>
      </c>
      <c r="BK21" s="57" t="n">
        <f aca="false">(Supuestos!$C$203)*(1+Supuestos!$C$36)^8*Estacionalidad!C$13</f>
        <v>5695134172.09128</v>
      </c>
      <c r="BL21" s="57" t="n">
        <f aca="false">(Supuestos!$C$203)*(1+Supuestos!$C$36)^8*Estacionalidad!D$13</f>
        <v>5765444470.51216</v>
      </c>
      <c r="BM21" s="57" t="n">
        <f aca="false">(Supuestos!$C$203)*(1+Supuestos!$C$36)^8*Estacionalidad!E$13</f>
        <v>5906065067.35392</v>
      </c>
      <c r="BN21" s="57" t="n">
        <f aca="false">(Supuestos!$C$203)*(1+Supuestos!$C$36)^8*Estacionalidad!F$13</f>
        <v>5906065067.35392</v>
      </c>
      <c r="BO21" s="57" t="n">
        <f aca="false">(Supuestos!$C$203)*(1+Supuestos!$C$36)^8*Estacionalidad!G$13</f>
        <v>5906065067.35392</v>
      </c>
      <c r="BP21" s="57" t="n">
        <f aca="false">(Supuestos!$C$203)*(1+Supuestos!$C$36)^8*Estacionalidad!H$13</f>
        <v>5906065067.35392</v>
      </c>
      <c r="BQ21" s="57" t="n">
        <f aca="false">(Supuestos!$C$203)*(1+Supuestos!$C$36)^8*Estacionalidad!I$13</f>
        <v>5906065067.35392</v>
      </c>
      <c r="BR21" s="57" t="n">
        <f aca="false">(Supuestos!$C$203)*(1+Supuestos!$C$36)^8*Estacionalidad!J$13</f>
        <v>5906065067.35392</v>
      </c>
      <c r="BS21" s="57" t="n">
        <f aca="false">(Supuestos!$C$203)*(1+Supuestos!$C$36)^8*Estacionalidad!K$13</f>
        <v>5906065067.35392</v>
      </c>
      <c r="BT21" s="57" t="n">
        <f aca="false">(Supuestos!$C$203)*(1+Supuestos!$C$36)^8*Estacionalidad!L$13</f>
        <v>5906065067.35392</v>
      </c>
      <c r="BU21" s="57" t="n">
        <f aca="false">(Supuestos!$C$203)*(1+Supuestos!$C$36)^8*Estacionalidad!M$13</f>
        <v>5906065067.35392</v>
      </c>
      <c r="BV21" s="57" t="n">
        <f aca="false">(Supuestos!$C$203)*(1+Supuestos!$C$36)^8*Estacionalidad!N$13</f>
        <v>5695134172.09128</v>
      </c>
      <c r="BW21" s="57" t="n">
        <f aca="false">(Supuestos!$C$203)*(1+Supuestos!$C$36)^9*Estacionalidad!C$13</f>
        <v>5695134172.09128</v>
      </c>
      <c r="BX21" s="57" t="n">
        <f aca="false">(Supuestos!$C$203)*(1+Supuestos!$C$36)^9*Estacionalidad!D$13</f>
        <v>5765444470.51216</v>
      </c>
      <c r="BY21" s="57" t="n">
        <f aca="false">(Supuestos!$C$203)*(1+Supuestos!$C$36)^9*Estacionalidad!E$13</f>
        <v>5906065067.35392</v>
      </c>
      <c r="BZ21" s="57" t="n">
        <f aca="false">(Supuestos!$C$203)*(1+Supuestos!$C$36)^9*Estacionalidad!F$13</f>
        <v>5906065067.35392</v>
      </c>
      <c r="CA21" s="57" t="n">
        <f aca="false">(Supuestos!$C$203)*(1+Supuestos!$C$36)^9*Estacionalidad!G$13</f>
        <v>5906065067.35392</v>
      </c>
      <c r="CB21" s="57" t="n">
        <f aca="false">(Supuestos!$C$203)*(1+Supuestos!$C$36)^9*Estacionalidad!H$13</f>
        <v>5906065067.35392</v>
      </c>
      <c r="CC21" s="57" t="n">
        <f aca="false">(Supuestos!$C$203)*(1+Supuestos!$C$36)^9*Estacionalidad!I$13</f>
        <v>5906065067.35392</v>
      </c>
      <c r="CD21" s="57" t="n">
        <f aca="false">(Supuestos!$C$203)*(1+Supuestos!$C$36)^9*Estacionalidad!J$13</f>
        <v>5906065067.35392</v>
      </c>
      <c r="CE21" s="57" t="n">
        <f aca="false">(Supuestos!$C$203)*(1+Supuestos!$C$36)^9*Estacionalidad!K$13</f>
        <v>5906065067.35392</v>
      </c>
      <c r="CF21" s="57" t="n">
        <f aca="false">(Supuestos!$C$203)*(1+Supuestos!$C$36)^9*Estacionalidad!L$13</f>
        <v>5906065067.35392</v>
      </c>
      <c r="CG21" s="57" t="n">
        <f aca="false">(Supuestos!$C$203)*(1+Supuestos!$C$36)^9*Estacionalidad!M$13</f>
        <v>5906065067.35392</v>
      </c>
      <c r="CH21" s="57" t="n">
        <f aca="false">(Supuestos!$C$203)*(1+Supuestos!$C$36)^9*Estacionalidad!N$13</f>
        <v>5695134172.09128</v>
      </c>
      <c r="CI21" s="57" t="n">
        <f aca="false">(Supuestos!$C$203)*(1+Supuestos!$C$36)^10*Estacionalidad!C$13</f>
        <v>5695134172.09128</v>
      </c>
      <c r="CJ21" s="57" t="n">
        <f aca="false">(Supuestos!$C$203)*(1+Supuestos!$C$36)^10*Estacionalidad!D$13</f>
        <v>5765444470.51216</v>
      </c>
      <c r="CK21" s="57" t="n">
        <f aca="false">(Supuestos!$C$203)*(1+Supuestos!$C$36)^10*Estacionalidad!E$13</f>
        <v>5906065067.35392</v>
      </c>
      <c r="CL21" s="57" t="n">
        <f aca="false">(Supuestos!$C$203)*(1+Supuestos!$C$36)^10*Estacionalidad!F$13</f>
        <v>5906065067.35392</v>
      </c>
      <c r="CM21" s="57" t="n">
        <f aca="false">(Supuestos!$C$203)*(1+Supuestos!$C$36)^10*Estacionalidad!G$13</f>
        <v>5906065067.35392</v>
      </c>
      <c r="CN21" s="57" t="n">
        <f aca="false">(Supuestos!$C$203)*(1+Supuestos!$C$36)^10*Estacionalidad!H$13</f>
        <v>5906065067.35392</v>
      </c>
      <c r="CO21" s="57" t="n">
        <f aca="false">(Supuestos!$C$203)*(1+Supuestos!$C$36)^10*Estacionalidad!I$13</f>
        <v>5906065067.35392</v>
      </c>
      <c r="CP21" s="57" t="n">
        <f aca="false">(Supuestos!$C$203)*(1+Supuestos!$C$36)^10*Estacionalidad!J$13</f>
        <v>5906065067.35392</v>
      </c>
      <c r="CQ21" s="57" t="n">
        <f aca="false">(Supuestos!$C$203)*(1+Supuestos!$C$36)^10*Estacionalidad!K$13</f>
        <v>5906065067.35392</v>
      </c>
      <c r="CR21" s="57" t="n">
        <f aca="false">(Supuestos!$C$203)*(1+Supuestos!$C$36)^10*Estacionalidad!L$13</f>
        <v>5906065067.35392</v>
      </c>
      <c r="CS21" s="57" t="n">
        <f aca="false">(Supuestos!$C$203)*(1+Supuestos!$C$36)^10*Estacionalidad!M$13</f>
        <v>5906065067.35392</v>
      </c>
      <c r="CT21" s="57" t="n">
        <f aca="false">(Supuestos!$C$203)*(1+Supuestos!$C$36)^10*Estacionalidad!N$13</f>
        <v>5695134172.09128</v>
      </c>
    </row>
    <row r="22" customFormat="false" ht="15" hidden="false" customHeight="true" outlineLevel="0" collapsed="false">
      <c r="B22" s="19" t="s">
        <v>348</v>
      </c>
      <c r="C22" s="57" t="n">
        <f aca="false">(Supuestos!$C$204)*(1+Supuestos!$C$36)^3*Estacionalidad!C$13</f>
        <v>2944860765.09714</v>
      </c>
      <c r="D22" s="57" t="n">
        <f aca="false">(Supuestos!$C$204)*(1+Supuestos!$C$36)^3*Estacionalidad!D$13</f>
        <v>2981217070.83908</v>
      </c>
      <c r="E22" s="57" t="n">
        <f aca="false">(Supuestos!$C$204)*(1+Supuestos!$C$36)^3*Estacionalidad!E$13</f>
        <v>3053929682.32296</v>
      </c>
      <c r="F22" s="57" t="n">
        <f aca="false">(Supuestos!$C$204)*(1+Supuestos!$C$36)^3*Estacionalidad!F$13</f>
        <v>3053929682.32296</v>
      </c>
      <c r="G22" s="57" t="n">
        <f aca="false">(Supuestos!$C$204)*(1+Supuestos!$C$36)^3*Estacionalidad!G$13</f>
        <v>3053929682.32296</v>
      </c>
      <c r="H22" s="57" t="n">
        <f aca="false">(Supuestos!$C$204)*(1+Supuestos!$C$36)^3*Estacionalidad!H$13</f>
        <v>3053929682.32296</v>
      </c>
      <c r="I22" s="57" t="n">
        <f aca="false">(Supuestos!$C$204)*(1+Supuestos!$C$36)^3*Estacionalidad!I$13</f>
        <v>3053929682.32296</v>
      </c>
      <c r="J22" s="57" t="n">
        <f aca="false">(Supuestos!$C$204)*(1+Supuestos!$C$36)^3*Estacionalidad!J$13</f>
        <v>3053929682.32296</v>
      </c>
      <c r="K22" s="57" t="n">
        <f aca="false">(Supuestos!$C$204)*(1+Supuestos!$C$36)^3*Estacionalidad!K$13</f>
        <v>3053929682.32296</v>
      </c>
      <c r="L22" s="57" t="n">
        <f aca="false">(Supuestos!$C$204)*(1+Supuestos!$C$36)^3*Estacionalidad!L$13</f>
        <v>3053929682.32296</v>
      </c>
      <c r="M22" s="57" t="n">
        <f aca="false">(Supuestos!$C$204)*(1+Supuestos!$C$36)^3*Estacionalidad!M$13</f>
        <v>3053929682.32296</v>
      </c>
      <c r="N22" s="57" t="n">
        <f aca="false">(Supuestos!$C$204)*(1+Supuestos!$C$36)^3*Estacionalidad!N$13</f>
        <v>2944860765.09714</v>
      </c>
      <c r="O22" s="57" t="n">
        <f aca="false">(Supuestos!$C$204)*(1+Supuestos!$C$36)^4*Estacionalidad!C$13</f>
        <v>2944860765.09714</v>
      </c>
      <c r="P22" s="57" t="n">
        <f aca="false">(Supuestos!$C$204)*(1+Supuestos!$C$36)^4*Estacionalidad!D$13</f>
        <v>2981217070.83908</v>
      </c>
      <c r="Q22" s="57" t="n">
        <f aca="false">(Supuestos!$C$204)*(1+Supuestos!$C$36)^4*Estacionalidad!E$13</f>
        <v>3053929682.32296</v>
      </c>
      <c r="R22" s="57" t="n">
        <f aca="false">(Supuestos!$C$204)*(1+Supuestos!$C$36)^4*Estacionalidad!F$13</f>
        <v>3053929682.32296</v>
      </c>
      <c r="S22" s="57" t="n">
        <f aca="false">(Supuestos!$C$204)*(1+Supuestos!$C$36)^4*Estacionalidad!G$13</f>
        <v>3053929682.32296</v>
      </c>
      <c r="T22" s="57" t="n">
        <f aca="false">(Supuestos!$C$204)*(1+Supuestos!$C$36)^4*Estacionalidad!H$13</f>
        <v>3053929682.32296</v>
      </c>
      <c r="U22" s="57" t="n">
        <f aca="false">(Supuestos!$C$204)*(1+Supuestos!$C$36)^4*Estacionalidad!I$13</f>
        <v>3053929682.32296</v>
      </c>
      <c r="V22" s="57" t="n">
        <f aca="false">(Supuestos!$C$204)*(1+Supuestos!$C$36)^4*Estacionalidad!J$13</f>
        <v>3053929682.32296</v>
      </c>
      <c r="W22" s="57" t="n">
        <f aca="false">(Supuestos!$C$204)*(1+Supuestos!$C$36)^4*Estacionalidad!K$13</f>
        <v>3053929682.32296</v>
      </c>
      <c r="X22" s="57" t="n">
        <f aca="false">(Supuestos!$C$204)*(1+Supuestos!$C$36)^4*Estacionalidad!L$13</f>
        <v>3053929682.32296</v>
      </c>
      <c r="Y22" s="57" t="n">
        <f aca="false">(Supuestos!$C$204)*(1+Supuestos!$C$36)^4*Estacionalidad!M$13</f>
        <v>3053929682.32296</v>
      </c>
      <c r="Z22" s="57" t="n">
        <f aca="false">(Supuestos!$C$204)*(1+Supuestos!$C$36)^4*Estacionalidad!N$13</f>
        <v>2944860765.09714</v>
      </c>
      <c r="AA22" s="57" t="n">
        <f aca="false">(Supuestos!$C$204)*(1+Supuestos!$C$36)^5*Estacionalidad!C$13</f>
        <v>2944860765.09714</v>
      </c>
      <c r="AB22" s="57" t="n">
        <f aca="false">(Supuestos!$C$204)*(1+Supuestos!$C$36)^5*Estacionalidad!D$13</f>
        <v>2981217070.83908</v>
      </c>
      <c r="AC22" s="57" t="n">
        <f aca="false">(Supuestos!$C$204)*(1+Supuestos!$C$36)^5*Estacionalidad!E$13</f>
        <v>3053929682.32296</v>
      </c>
      <c r="AD22" s="57" t="n">
        <f aca="false">(Supuestos!$C$204)*(1+Supuestos!$C$36)^5*Estacionalidad!F$13</f>
        <v>3053929682.32296</v>
      </c>
      <c r="AE22" s="57" t="n">
        <f aca="false">(Supuestos!$C$204)*(1+Supuestos!$C$36)^5*Estacionalidad!G$13</f>
        <v>3053929682.32296</v>
      </c>
      <c r="AF22" s="57" t="n">
        <f aca="false">(Supuestos!$C$204)*(1+Supuestos!$C$36)^5*Estacionalidad!H$13</f>
        <v>3053929682.32296</v>
      </c>
      <c r="AG22" s="57" t="n">
        <f aca="false">(Supuestos!$C$204)*(1+Supuestos!$C$36)^5*Estacionalidad!I$13</f>
        <v>3053929682.32296</v>
      </c>
      <c r="AH22" s="57" t="n">
        <f aca="false">(Supuestos!$C$204)*(1+Supuestos!$C$36)^5*Estacionalidad!J$13</f>
        <v>3053929682.32296</v>
      </c>
      <c r="AI22" s="57" t="n">
        <f aca="false">(Supuestos!$C$204)*(1+Supuestos!$C$36)^5*Estacionalidad!K$13</f>
        <v>3053929682.32296</v>
      </c>
      <c r="AJ22" s="57" t="n">
        <f aca="false">(Supuestos!$C$204)*(1+Supuestos!$C$36)^5*Estacionalidad!L$13</f>
        <v>3053929682.32296</v>
      </c>
      <c r="AK22" s="57" t="n">
        <f aca="false">(Supuestos!$C$204)*(1+Supuestos!$C$36)^5*Estacionalidad!M$13</f>
        <v>3053929682.32296</v>
      </c>
      <c r="AL22" s="57" t="n">
        <f aca="false">(Supuestos!$C$204)*(1+Supuestos!$C$36)^5*Estacionalidad!N$13</f>
        <v>2944860765.09714</v>
      </c>
      <c r="AM22" s="57" t="n">
        <f aca="false">(Supuestos!$C$204)*(1+Supuestos!$C$36)^6*Estacionalidad!C$13</f>
        <v>2944860765.09714</v>
      </c>
      <c r="AN22" s="57" t="n">
        <f aca="false">(Supuestos!$C$204)*(1+Supuestos!$C$36)^6*Estacionalidad!D$13</f>
        <v>2981217070.83908</v>
      </c>
      <c r="AO22" s="57" t="n">
        <f aca="false">(Supuestos!$C$204)*(1+Supuestos!$C$36)^6*Estacionalidad!E$13</f>
        <v>3053929682.32296</v>
      </c>
      <c r="AP22" s="57" t="n">
        <f aca="false">(Supuestos!$C$204)*(1+Supuestos!$C$36)^6*Estacionalidad!F$13</f>
        <v>3053929682.32296</v>
      </c>
      <c r="AQ22" s="57" t="n">
        <f aca="false">(Supuestos!$C$204)*(1+Supuestos!$C$36)^6*Estacionalidad!G$13</f>
        <v>3053929682.32296</v>
      </c>
      <c r="AR22" s="57" t="n">
        <f aca="false">(Supuestos!$C$204)*(1+Supuestos!$C$36)^6*Estacionalidad!H$13</f>
        <v>3053929682.32296</v>
      </c>
      <c r="AS22" s="57" t="n">
        <f aca="false">(Supuestos!$C$204)*(1+Supuestos!$C$36)^6*Estacionalidad!I$13</f>
        <v>3053929682.32296</v>
      </c>
      <c r="AT22" s="57" t="n">
        <f aca="false">(Supuestos!$C$204)*(1+Supuestos!$C$36)^6*Estacionalidad!J$13</f>
        <v>3053929682.32296</v>
      </c>
      <c r="AU22" s="57" t="n">
        <f aca="false">(Supuestos!$C$204)*(1+Supuestos!$C$36)^6*Estacionalidad!K$13</f>
        <v>3053929682.32296</v>
      </c>
      <c r="AV22" s="57" t="n">
        <f aca="false">(Supuestos!$C$204)*(1+Supuestos!$C$36)^6*Estacionalidad!L$13</f>
        <v>3053929682.32296</v>
      </c>
      <c r="AW22" s="57" t="n">
        <f aca="false">(Supuestos!$C$204)*(1+Supuestos!$C$36)^6*Estacionalidad!M$13</f>
        <v>3053929682.32296</v>
      </c>
      <c r="AX22" s="57" t="n">
        <f aca="false">(Supuestos!$C$204)*(1+Supuestos!$C$36)^6*Estacionalidad!N$13</f>
        <v>2944860765.09714</v>
      </c>
      <c r="AY22" s="57" t="n">
        <f aca="false">(Supuestos!$C$204)*(1+Supuestos!$C$36)^7*Estacionalidad!C$13</f>
        <v>2944860765.09714</v>
      </c>
      <c r="AZ22" s="57" t="n">
        <f aca="false">(Supuestos!$C$204)*(1+Supuestos!$C$36)^7*Estacionalidad!D$13</f>
        <v>2981217070.83908</v>
      </c>
      <c r="BA22" s="57" t="n">
        <f aca="false">(Supuestos!$C$204)*(1+Supuestos!$C$36)^7*Estacionalidad!E$13</f>
        <v>3053929682.32296</v>
      </c>
      <c r="BB22" s="57" t="n">
        <f aca="false">(Supuestos!$C$204)*(1+Supuestos!$C$36)^7*Estacionalidad!F$13</f>
        <v>3053929682.32296</v>
      </c>
      <c r="BC22" s="57" t="n">
        <f aca="false">(Supuestos!$C$204)*(1+Supuestos!$C$36)^7*Estacionalidad!G$13</f>
        <v>3053929682.32296</v>
      </c>
      <c r="BD22" s="57" t="n">
        <f aca="false">(Supuestos!$C$204)*(1+Supuestos!$C$36)^7*Estacionalidad!H$13</f>
        <v>3053929682.32296</v>
      </c>
      <c r="BE22" s="57" t="n">
        <f aca="false">(Supuestos!$C$204)*(1+Supuestos!$C$36)^7*Estacionalidad!I$13</f>
        <v>3053929682.32296</v>
      </c>
      <c r="BF22" s="57" t="n">
        <f aca="false">(Supuestos!$C$204)*(1+Supuestos!$C$36)^7*Estacionalidad!J$13</f>
        <v>3053929682.32296</v>
      </c>
      <c r="BG22" s="57" t="n">
        <f aca="false">(Supuestos!$C$204)*(1+Supuestos!$C$36)^7*Estacionalidad!K$13</f>
        <v>3053929682.32296</v>
      </c>
      <c r="BH22" s="57" t="n">
        <f aca="false">(Supuestos!$C$204)*(1+Supuestos!$C$36)^7*Estacionalidad!L$13</f>
        <v>3053929682.32296</v>
      </c>
      <c r="BI22" s="57" t="n">
        <f aca="false">(Supuestos!$C$204)*(1+Supuestos!$C$36)^7*Estacionalidad!M$13</f>
        <v>3053929682.32296</v>
      </c>
      <c r="BJ22" s="57" t="n">
        <f aca="false">(Supuestos!$C$204)*(1+Supuestos!$C$36)^7*Estacionalidad!N$13</f>
        <v>2944860765.09714</v>
      </c>
      <c r="BK22" s="57" t="n">
        <f aca="false">(Supuestos!$C$204)*(1+Supuestos!$C$36)^8*Estacionalidad!C$13</f>
        <v>2944860765.09714</v>
      </c>
      <c r="BL22" s="57" t="n">
        <f aca="false">(Supuestos!$C$204)*(1+Supuestos!$C$36)^8*Estacionalidad!D$13</f>
        <v>2981217070.83908</v>
      </c>
      <c r="BM22" s="57" t="n">
        <f aca="false">(Supuestos!$C$204)*(1+Supuestos!$C$36)^8*Estacionalidad!E$13</f>
        <v>3053929682.32296</v>
      </c>
      <c r="BN22" s="57" t="n">
        <f aca="false">(Supuestos!$C$204)*(1+Supuestos!$C$36)^8*Estacionalidad!F$13</f>
        <v>3053929682.32296</v>
      </c>
      <c r="BO22" s="57" t="n">
        <f aca="false">(Supuestos!$C$204)*(1+Supuestos!$C$36)^8*Estacionalidad!G$13</f>
        <v>3053929682.32296</v>
      </c>
      <c r="BP22" s="57" t="n">
        <f aca="false">(Supuestos!$C$204)*(1+Supuestos!$C$36)^8*Estacionalidad!H$13</f>
        <v>3053929682.32296</v>
      </c>
      <c r="BQ22" s="57" t="n">
        <f aca="false">(Supuestos!$C$204)*(1+Supuestos!$C$36)^8*Estacionalidad!I$13</f>
        <v>3053929682.32296</v>
      </c>
      <c r="BR22" s="57" t="n">
        <f aca="false">(Supuestos!$C$204)*(1+Supuestos!$C$36)^8*Estacionalidad!J$13</f>
        <v>3053929682.32296</v>
      </c>
      <c r="BS22" s="57" t="n">
        <f aca="false">(Supuestos!$C$204)*(1+Supuestos!$C$36)^8*Estacionalidad!K$13</f>
        <v>3053929682.32296</v>
      </c>
      <c r="BT22" s="57" t="n">
        <f aca="false">(Supuestos!$C$204)*(1+Supuestos!$C$36)^8*Estacionalidad!L$13</f>
        <v>3053929682.32296</v>
      </c>
      <c r="BU22" s="57" t="n">
        <f aca="false">(Supuestos!$C$204)*(1+Supuestos!$C$36)^8*Estacionalidad!M$13</f>
        <v>3053929682.32296</v>
      </c>
      <c r="BV22" s="57" t="n">
        <f aca="false">(Supuestos!$C$204)*(1+Supuestos!$C$36)^8*Estacionalidad!N$13</f>
        <v>2944860765.09714</v>
      </c>
      <c r="BW22" s="57" t="n">
        <f aca="false">(Supuestos!$C$204)*(1+Supuestos!$C$36)^9*Estacionalidad!C$13</f>
        <v>2944860765.09714</v>
      </c>
      <c r="BX22" s="57" t="n">
        <f aca="false">(Supuestos!$C$204)*(1+Supuestos!$C$36)^9*Estacionalidad!D$13</f>
        <v>2981217070.83908</v>
      </c>
      <c r="BY22" s="57" t="n">
        <f aca="false">(Supuestos!$C$204)*(1+Supuestos!$C$36)^9*Estacionalidad!E$13</f>
        <v>3053929682.32296</v>
      </c>
      <c r="BZ22" s="57" t="n">
        <f aca="false">(Supuestos!$C$204)*(1+Supuestos!$C$36)^9*Estacionalidad!F$13</f>
        <v>3053929682.32296</v>
      </c>
      <c r="CA22" s="57" t="n">
        <f aca="false">(Supuestos!$C$204)*(1+Supuestos!$C$36)^9*Estacionalidad!G$13</f>
        <v>3053929682.32296</v>
      </c>
      <c r="CB22" s="57" t="n">
        <f aca="false">(Supuestos!$C$204)*(1+Supuestos!$C$36)^9*Estacionalidad!H$13</f>
        <v>3053929682.32296</v>
      </c>
      <c r="CC22" s="57" t="n">
        <f aca="false">(Supuestos!$C$204)*(1+Supuestos!$C$36)^9*Estacionalidad!I$13</f>
        <v>3053929682.32296</v>
      </c>
      <c r="CD22" s="57" t="n">
        <f aca="false">(Supuestos!$C$204)*(1+Supuestos!$C$36)^9*Estacionalidad!J$13</f>
        <v>3053929682.32296</v>
      </c>
      <c r="CE22" s="57" t="n">
        <f aca="false">(Supuestos!$C$204)*(1+Supuestos!$C$36)^9*Estacionalidad!K$13</f>
        <v>3053929682.32296</v>
      </c>
      <c r="CF22" s="57" t="n">
        <f aca="false">(Supuestos!$C$204)*(1+Supuestos!$C$36)^9*Estacionalidad!L$13</f>
        <v>3053929682.32296</v>
      </c>
      <c r="CG22" s="57" t="n">
        <f aca="false">(Supuestos!$C$204)*(1+Supuestos!$C$36)^9*Estacionalidad!M$13</f>
        <v>3053929682.32296</v>
      </c>
      <c r="CH22" s="57" t="n">
        <f aca="false">(Supuestos!$C$204)*(1+Supuestos!$C$36)^9*Estacionalidad!N$13</f>
        <v>2944860765.09714</v>
      </c>
      <c r="CI22" s="57" t="n">
        <f aca="false">(Supuestos!$C$204)*(1+Supuestos!$C$36)^10*Estacionalidad!C$13</f>
        <v>2944860765.09714</v>
      </c>
      <c r="CJ22" s="57" t="n">
        <f aca="false">(Supuestos!$C$204)*(1+Supuestos!$C$36)^10*Estacionalidad!D$13</f>
        <v>2981217070.83908</v>
      </c>
      <c r="CK22" s="57" t="n">
        <f aca="false">(Supuestos!$C$204)*(1+Supuestos!$C$36)^10*Estacionalidad!E$13</f>
        <v>3053929682.32296</v>
      </c>
      <c r="CL22" s="57" t="n">
        <f aca="false">(Supuestos!$C$204)*(1+Supuestos!$C$36)^10*Estacionalidad!F$13</f>
        <v>3053929682.32296</v>
      </c>
      <c r="CM22" s="57" t="n">
        <f aca="false">(Supuestos!$C$204)*(1+Supuestos!$C$36)^10*Estacionalidad!G$13</f>
        <v>3053929682.32296</v>
      </c>
      <c r="CN22" s="57" t="n">
        <f aca="false">(Supuestos!$C$204)*(1+Supuestos!$C$36)^10*Estacionalidad!H$13</f>
        <v>3053929682.32296</v>
      </c>
      <c r="CO22" s="57" t="n">
        <f aca="false">(Supuestos!$C$204)*(1+Supuestos!$C$36)^10*Estacionalidad!I$13</f>
        <v>3053929682.32296</v>
      </c>
      <c r="CP22" s="57" t="n">
        <f aca="false">(Supuestos!$C$204)*(1+Supuestos!$C$36)^10*Estacionalidad!J$13</f>
        <v>3053929682.32296</v>
      </c>
      <c r="CQ22" s="57" t="n">
        <f aca="false">(Supuestos!$C$204)*(1+Supuestos!$C$36)^10*Estacionalidad!K$13</f>
        <v>3053929682.32296</v>
      </c>
      <c r="CR22" s="57" t="n">
        <f aca="false">(Supuestos!$C$204)*(1+Supuestos!$C$36)^10*Estacionalidad!L$13</f>
        <v>3053929682.32296</v>
      </c>
      <c r="CS22" s="57" t="n">
        <f aca="false">(Supuestos!$C$204)*(1+Supuestos!$C$36)^10*Estacionalidad!M$13</f>
        <v>3053929682.32296</v>
      </c>
      <c r="CT22" s="57" t="n">
        <f aca="false">(Supuestos!$C$204)*(1+Supuestos!$C$36)^10*Estacionalidad!N$13</f>
        <v>2944860765.09714</v>
      </c>
    </row>
    <row r="23" customFormat="false" ht="15" hidden="false" customHeight="true" outlineLevel="0" collapsed="false">
      <c r="B23" s="19" t="s">
        <v>349</v>
      </c>
      <c r="C23" s="57" t="n">
        <f aca="false">(Supuestos!$C$205)*(1+Supuestos!$C$36)^3*Estacionalidad!C$13+Programas!C$10</f>
        <v>142132216.947047</v>
      </c>
      <c r="D23" s="57" t="n">
        <f aca="false">(Supuestos!$C$205)*(1+Supuestos!$C$36)^3*Estacionalidad!D$13+Programas!D$10</f>
        <v>143542285.469027</v>
      </c>
      <c r="E23" s="57" t="n">
        <f aca="false">(Supuestos!$C$205)*(1+Supuestos!$C$36)^3*Estacionalidad!E$13+Programas!E$10</f>
        <v>146362422.512987</v>
      </c>
      <c r="F23" s="57" t="n">
        <f aca="false">(Supuestos!$C$205)*(1+Supuestos!$C$36)^3*Estacionalidad!F$13+Programas!F$10</f>
        <v>146362422.512987</v>
      </c>
      <c r="G23" s="57" t="n">
        <f aca="false">(Supuestos!$C$205)*(1+Supuestos!$C$36)^3*Estacionalidad!G$13+Programas!G$10</f>
        <v>146362422.512987</v>
      </c>
      <c r="H23" s="57" t="n">
        <f aca="false">(Supuestos!$C$205)*(1+Supuestos!$C$36)^3*Estacionalidad!H$13+Programas!H$10</f>
        <v>146362422.512987</v>
      </c>
      <c r="I23" s="57" t="n">
        <f aca="false">(Supuestos!$C$205)*(1+Supuestos!$C$36)^3*Estacionalidad!I$13+Programas!I$10</f>
        <v>146362422.512987</v>
      </c>
      <c r="J23" s="57" t="n">
        <f aca="false">(Supuestos!$C$205)*(1+Supuestos!$C$36)^3*Estacionalidad!J$13+Programas!J$10</f>
        <v>146362422.512987</v>
      </c>
      <c r="K23" s="57" t="n">
        <f aca="false">(Supuestos!$C$205)*(1+Supuestos!$C$36)^3*Estacionalidad!K$13+Programas!K$10</f>
        <v>146362422.512987</v>
      </c>
      <c r="L23" s="57" t="n">
        <f aca="false">(Supuestos!$C$205)*(1+Supuestos!$C$36)^3*Estacionalidad!L$13+Programas!L$10</f>
        <v>146362422.512987</v>
      </c>
      <c r="M23" s="57" t="n">
        <f aca="false">(Supuestos!$C$205)*(1+Supuestos!$C$36)^3*Estacionalidad!M$13+Programas!M$10</f>
        <v>146362422.512987</v>
      </c>
      <c r="N23" s="57" t="n">
        <f aca="false">(Supuestos!$C$205)*(1+Supuestos!$C$36)^3*Estacionalidad!N$13+Programas!N$10</f>
        <v>142132216.947047</v>
      </c>
      <c r="O23" s="57" t="n">
        <f aca="false">(Supuestos!$C$205)*(1+Supuestos!$C$36)^4*Estacionalidad!C$13+Programas!O$10</f>
        <v>126210547.957747</v>
      </c>
      <c r="P23" s="57" t="n">
        <f aca="false">(Supuestos!$C$205)*(1+Supuestos!$C$36)^4*Estacionalidad!D$13+Programas!P$10</f>
        <v>139615614.157094</v>
      </c>
      <c r="Q23" s="57" t="n">
        <f aca="false">(Supuestos!$C$205)*(1+Supuestos!$C$36)^4*Estacionalidad!E$13+Programas!Q$10</f>
        <v>154430748.878422</v>
      </c>
      <c r="R23" s="57" t="n">
        <f aca="false">(Supuestos!$C$205)*(1+Supuestos!$C$36)^4*Estacionalidad!F$13+Programas!R$10</f>
        <v>166425746.555789</v>
      </c>
      <c r="S23" s="57" t="n">
        <f aca="false">(Supuestos!$C$205)*(1+Supuestos!$C$36)^4*Estacionalidad!G$13+Programas!S$10</f>
        <v>178420744.233156</v>
      </c>
      <c r="T23" s="57" t="n">
        <f aca="false">(Supuestos!$C$205)*(1+Supuestos!$C$36)^4*Estacionalidad!H$13+Programas!T$10</f>
        <v>190415741.910523</v>
      </c>
      <c r="U23" s="57" t="n">
        <f aca="false">(Supuestos!$C$205)*(1+Supuestos!$C$36)^4*Estacionalidad!I$13+Programas!U$10</f>
        <v>202410739.58789</v>
      </c>
      <c r="V23" s="57" t="n">
        <f aca="false">(Supuestos!$C$205)*(1+Supuestos!$C$36)^4*Estacionalidad!J$13+Programas!V$10</f>
        <v>214405737.265257</v>
      </c>
      <c r="W23" s="57" t="n">
        <f aca="false">(Supuestos!$C$205)*(1+Supuestos!$C$36)^4*Estacionalidad!K$13+Programas!W$10</f>
        <v>226400734.942625</v>
      </c>
      <c r="X23" s="57" t="n">
        <f aca="false">(Supuestos!$C$205)*(1+Supuestos!$C$36)^4*Estacionalidad!L$13+Programas!X$10</f>
        <v>238395732.619992</v>
      </c>
      <c r="Y23" s="57" t="n">
        <f aca="false">(Supuestos!$C$205)*(1+Supuestos!$C$36)^4*Estacionalidad!M$13+Programas!Y$10</f>
        <v>250390730.297359</v>
      </c>
      <c r="Z23" s="57" t="n">
        <f aca="false">(Supuestos!$C$205)*(1+Supuestos!$C$36)^4*Estacionalidad!N$13+Programas!Z$10</f>
        <v>258155522.408786</v>
      </c>
      <c r="AA23" s="57" t="n">
        <f aca="false">(Supuestos!$C$205)*(1+Supuestos!$C$36)^5*Estacionalidad!C$13+Programas!AA$10</f>
        <v>270150520.086153</v>
      </c>
      <c r="AB23" s="57" t="n">
        <f aca="false">(Supuestos!$C$205)*(1+Supuestos!$C$36)^5*Estacionalidad!D$13+Programas!AB$10</f>
        <v>283555586.285501</v>
      </c>
      <c r="AC23" s="57" t="n">
        <f aca="false">(Supuestos!$C$205)*(1+Supuestos!$C$36)^5*Estacionalidad!E$13+Programas!AC$10</f>
        <v>298370721.006828</v>
      </c>
      <c r="AD23" s="57" t="n">
        <f aca="false">(Supuestos!$C$205)*(1+Supuestos!$C$36)^5*Estacionalidad!F$13+Programas!AD$10</f>
        <v>310365718.684195</v>
      </c>
      <c r="AE23" s="57" t="n">
        <f aca="false">(Supuestos!$C$205)*(1+Supuestos!$C$36)^5*Estacionalidad!G$13+Programas!AE$10</f>
        <v>322360716.361562</v>
      </c>
      <c r="AF23" s="57" t="n">
        <f aca="false">(Supuestos!$C$205)*(1+Supuestos!$C$36)^5*Estacionalidad!H$13+Programas!AF$10</f>
        <v>334355714.038929</v>
      </c>
      <c r="AG23" s="57" t="n">
        <f aca="false">(Supuestos!$C$205)*(1+Supuestos!$C$36)^5*Estacionalidad!I$13+Programas!AG$10</f>
        <v>346350711.716297</v>
      </c>
      <c r="AH23" s="57" t="n">
        <f aca="false">(Supuestos!$C$205)*(1+Supuestos!$C$36)^5*Estacionalidad!J$13+Programas!AH$10</f>
        <v>358345709.393664</v>
      </c>
      <c r="AI23" s="57" t="n">
        <f aca="false">(Supuestos!$C$205)*(1+Supuestos!$C$36)^5*Estacionalidad!K$13+Programas!AI$10</f>
        <v>370340707.071031</v>
      </c>
      <c r="AJ23" s="57" t="n">
        <f aca="false">(Supuestos!$C$205)*(1+Supuestos!$C$36)^5*Estacionalidad!L$13+Programas!AJ$10</f>
        <v>382335704.748398</v>
      </c>
      <c r="AK23" s="57" t="n">
        <f aca="false">(Supuestos!$C$205)*(1+Supuestos!$C$36)^5*Estacionalidad!M$13+Programas!AK$10</f>
        <v>394330702.425765</v>
      </c>
      <c r="AL23" s="57" t="n">
        <f aca="false">(Supuestos!$C$205)*(1+Supuestos!$C$36)^5*Estacionalidad!N$13+Programas!AL$10</f>
        <v>402095494.537192</v>
      </c>
      <c r="AM23" s="57" t="n">
        <f aca="false">(Supuestos!$C$205)*(1+Supuestos!$C$36)^6*Estacionalidad!C$13+Programas!AM$10</f>
        <v>402095494.537192</v>
      </c>
      <c r="AN23" s="57" t="n">
        <f aca="false">(Supuestos!$C$205)*(1+Supuestos!$C$36)^6*Estacionalidad!D$13+Programas!AN$10</f>
        <v>403505563.059172</v>
      </c>
      <c r="AO23" s="57" t="n">
        <f aca="false">(Supuestos!$C$205)*(1+Supuestos!$C$36)^6*Estacionalidad!E$13+Programas!AO$10</f>
        <v>406325700.103132</v>
      </c>
      <c r="AP23" s="57" t="n">
        <f aca="false">(Supuestos!$C$205)*(1+Supuestos!$C$36)^6*Estacionalidad!F$13+Programas!AP$10</f>
        <v>406325700.103132</v>
      </c>
      <c r="AQ23" s="57" t="n">
        <f aca="false">(Supuestos!$C$205)*(1+Supuestos!$C$36)^6*Estacionalidad!G$13+Programas!AQ$10</f>
        <v>406325700.103132</v>
      </c>
      <c r="AR23" s="57" t="n">
        <f aca="false">(Supuestos!$C$205)*(1+Supuestos!$C$36)^6*Estacionalidad!H$13+Programas!AR$10</f>
        <v>406325700.103132</v>
      </c>
      <c r="AS23" s="57" t="n">
        <f aca="false">(Supuestos!$C$205)*(1+Supuestos!$C$36)^6*Estacionalidad!I$13+Programas!AS$10</f>
        <v>406325700.103132</v>
      </c>
      <c r="AT23" s="57" t="n">
        <f aca="false">(Supuestos!$C$205)*(1+Supuestos!$C$36)^6*Estacionalidad!J$13+Programas!AT$10</f>
        <v>406325700.103132</v>
      </c>
      <c r="AU23" s="57" t="n">
        <f aca="false">(Supuestos!$C$205)*(1+Supuestos!$C$36)^6*Estacionalidad!K$13+Programas!AU$10</f>
        <v>406325700.103132</v>
      </c>
      <c r="AV23" s="57" t="n">
        <f aca="false">(Supuestos!$C$205)*(1+Supuestos!$C$36)^6*Estacionalidad!L$13+Programas!AV$10</f>
        <v>406325700.103132</v>
      </c>
      <c r="AW23" s="57" t="n">
        <f aca="false">(Supuestos!$C$205)*(1+Supuestos!$C$36)^6*Estacionalidad!M$13+Programas!AW$10</f>
        <v>406325700.103132</v>
      </c>
      <c r="AX23" s="57" t="n">
        <f aca="false">(Supuestos!$C$205)*(1+Supuestos!$C$36)^6*Estacionalidad!N$13+Programas!AX$10</f>
        <v>402095494.537192</v>
      </c>
      <c r="AY23" s="57" t="n">
        <f aca="false">(Supuestos!$C$205)*(1+Supuestos!$C$36)^7*Estacionalidad!C$13+Programas!AY$10</f>
        <v>402095494.537192</v>
      </c>
      <c r="AZ23" s="57" t="n">
        <f aca="false">(Supuestos!$C$205)*(1+Supuestos!$C$36)^7*Estacionalidad!D$13+Programas!AZ$10</f>
        <v>403505563.059172</v>
      </c>
      <c r="BA23" s="57" t="n">
        <f aca="false">(Supuestos!$C$205)*(1+Supuestos!$C$36)^7*Estacionalidad!E$13+Programas!BA$10</f>
        <v>406325700.103132</v>
      </c>
      <c r="BB23" s="57" t="n">
        <f aca="false">(Supuestos!$C$205)*(1+Supuestos!$C$36)^7*Estacionalidad!F$13+Programas!BB$10</f>
        <v>406325700.103132</v>
      </c>
      <c r="BC23" s="57" t="n">
        <f aca="false">(Supuestos!$C$205)*(1+Supuestos!$C$36)^7*Estacionalidad!G$13+Programas!BC$10</f>
        <v>406325700.103132</v>
      </c>
      <c r="BD23" s="57" t="n">
        <f aca="false">(Supuestos!$C$205)*(1+Supuestos!$C$36)^7*Estacionalidad!H$13+Programas!BD$10</f>
        <v>406325700.103132</v>
      </c>
      <c r="BE23" s="57" t="n">
        <f aca="false">(Supuestos!$C$205)*(1+Supuestos!$C$36)^7*Estacionalidad!I$13+Programas!BE$10</f>
        <v>406325700.103132</v>
      </c>
      <c r="BF23" s="57" t="n">
        <f aca="false">(Supuestos!$C$205)*(1+Supuestos!$C$36)^7*Estacionalidad!J$13+Programas!BF$10</f>
        <v>406325700.103132</v>
      </c>
      <c r="BG23" s="57" t="n">
        <f aca="false">(Supuestos!$C$205)*(1+Supuestos!$C$36)^7*Estacionalidad!K$13+Programas!BG$10</f>
        <v>406325700.103132</v>
      </c>
      <c r="BH23" s="57" t="n">
        <f aca="false">(Supuestos!$C$205)*(1+Supuestos!$C$36)^7*Estacionalidad!L$13+Programas!BH$10</f>
        <v>406325700.103132</v>
      </c>
      <c r="BI23" s="57" t="n">
        <f aca="false">(Supuestos!$C$205)*(1+Supuestos!$C$36)^7*Estacionalidad!M$13+Programas!BI$10</f>
        <v>406325700.103132</v>
      </c>
      <c r="BJ23" s="57" t="n">
        <f aca="false">(Supuestos!$C$205)*(1+Supuestos!$C$36)^7*Estacionalidad!N$13+Programas!BJ$10</f>
        <v>402095494.537192</v>
      </c>
      <c r="BK23" s="57" t="n">
        <f aca="false">(Supuestos!$C$205)*(1+Supuestos!$C$36)^8*Estacionalidad!C$13+Programas!BK$10</f>
        <v>402095494.537192</v>
      </c>
      <c r="BL23" s="57" t="n">
        <f aca="false">(Supuestos!$C$205)*(1+Supuestos!$C$36)^8*Estacionalidad!D$13+Programas!BL$10</f>
        <v>403505563.059172</v>
      </c>
      <c r="BM23" s="57" t="n">
        <f aca="false">(Supuestos!$C$205)*(1+Supuestos!$C$36)^8*Estacionalidad!E$13+Programas!BM$10</f>
        <v>406325700.103132</v>
      </c>
      <c r="BN23" s="57" t="n">
        <f aca="false">(Supuestos!$C$205)*(1+Supuestos!$C$36)^8*Estacionalidad!F$13+Programas!BN$10</f>
        <v>406325700.103132</v>
      </c>
      <c r="BO23" s="57" t="n">
        <f aca="false">(Supuestos!$C$205)*(1+Supuestos!$C$36)^8*Estacionalidad!G$13+Programas!BO$10</f>
        <v>406325700.103132</v>
      </c>
      <c r="BP23" s="57" t="n">
        <f aca="false">(Supuestos!$C$205)*(1+Supuestos!$C$36)^8*Estacionalidad!H$13+Programas!BP$10</f>
        <v>406325700.103132</v>
      </c>
      <c r="BQ23" s="57" t="n">
        <f aca="false">(Supuestos!$C$205)*(1+Supuestos!$C$36)^8*Estacionalidad!I$13+Programas!BQ$10</f>
        <v>406325700.103132</v>
      </c>
      <c r="BR23" s="57" t="n">
        <f aca="false">(Supuestos!$C$205)*(1+Supuestos!$C$36)^8*Estacionalidad!J$13+Programas!BR$10</f>
        <v>406325700.103132</v>
      </c>
      <c r="BS23" s="57" t="n">
        <f aca="false">(Supuestos!$C$205)*(1+Supuestos!$C$36)^8*Estacionalidad!K$13+Programas!BS$10</f>
        <v>406325700.103132</v>
      </c>
      <c r="BT23" s="57" t="n">
        <f aca="false">(Supuestos!$C$205)*(1+Supuestos!$C$36)^8*Estacionalidad!L$13+Programas!BT$10</f>
        <v>406325700.103132</v>
      </c>
      <c r="BU23" s="57" t="n">
        <f aca="false">(Supuestos!$C$205)*(1+Supuestos!$C$36)^8*Estacionalidad!M$13+Programas!BU$10</f>
        <v>406325700.103132</v>
      </c>
      <c r="BV23" s="57" t="n">
        <f aca="false">(Supuestos!$C$205)*(1+Supuestos!$C$36)^8*Estacionalidad!N$13+Programas!BV$10</f>
        <v>402095494.537192</v>
      </c>
      <c r="BW23" s="57" t="n">
        <f aca="false">(Supuestos!$C$205)*(1+Supuestos!$C$36)^9*Estacionalidad!C$13+Programas!BW$10</f>
        <v>402095494.537192</v>
      </c>
      <c r="BX23" s="57" t="n">
        <f aca="false">(Supuestos!$C$205)*(1+Supuestos!$C$36)^9*Estacionalidad!D$13+Programas!BX$10</f>
        <v>403505563.059172</v>
      </c>
      <c r="BY23" s="57" t="n">
        <f aca="false">(Supuestos!$C$205)*(1+Supuestos!$C$36)^9*Estacionalidad!E$13+Programas!BY$10</f>
        <v>406325700.103132</v>
      </c>
      <c r="BZ23" s="57" t="n">
        <f aca="false">(Supuestos!$C$205)*(1+Supuestos!$C$36)^9*Estacionalidad!F$13+Programas!BZ$10</f>
        <v>406325700.103132</v>
      </c>
      <c r="CA23" s="57" t="n">
        <f aca="false">(Supuestos!$C$205)*(1+Supuestos!$C$36)^9*Estacionalidad!G$13+Programas!CA$10</f>
        <v>406325700.103132</v>
      </c>
      <c r="CB23" s="57" t="n">
        <f aca="false">(Supuestos!$C$205)*(1+Supuestos!$C$36)^9*Estacionalidad!H$13+Programas!CB$10</f>
        <v>406325700.103132</v>
      </c>
      <c r="CC23" s="57" t="n">
        <f aca="false">(Supuestos!$C$205)*(1+Supuestos!$C$36)^9*Estacionalidad!I$13+Programas!CC$10</f>
        <v>406325700.103132</v>
      </c>
      <c r="CD23" s="57" t="n">
        <f aca="false">(Supuestos!$C$205)*(1+Supuestos!$C$36)^9*Estacionalidad!J$13+Programas!CD$10</f>
        <v>406325700.103132</v>
      </c>
      <c r="CE23" s="57" t="n">
        <f aca="false">(Supuestos!$C$205)*(1+Supuestos!$C$36)^9*Estacionalidad!K$13+Programas!CE$10</f>
        <v>406325700.103132</v>
      </c>
      <c r="CF23" s="57" t="n">
        <f aca="false">(Supuestos!$C$205)*(1+Supuestos!$C$36)^9*Estacionalidad!L$13+Programas!CF$10</f>
        <v>406325700.103132</v>
      </c>
      <c r="CG23" s="57" t="n">
        <f aca="false">(Supuestos!$C$205)*(1+Supuestos!$C$36)^9*Estacionalidad!M$13+Programas!CG$10</f>
        <v>406325700.103132</v>
      </c>
      <c r="CH23" s="57" t="n">
        <f aca="false">(Supuestos!$C$205)*(1+Supuestos!$C$36)^9*Estacionalidad!N$13+Programas!CH$10</f>
        <v>402095494.537192</v>
      </c>
      <c r="CI23" s="57" t="n">
        <f aca="false">(Supuestos!$C$205)*(1+Supuestos!$C$36)^10*Estacionalidad!C$13+Programas!CI$10</f>
        <v>402095494.537192</v>
      </c>
      <c r="CJ23" s="57" t="n">
        <f aca="false">(Supuestos!$C$205)*(1+Supuestos!$C$36)^10*Estacionalidad!D$13+Programas!CJ$10</f>
        <v>403505563.059172</v>
      </c>
      <c r="CK23" s="57" t="n">
        <f aca="false">(Supuestos!$C$205)*(1+Supuestos!$C$36)^10*Estacionalidad!E$13+Programas!CK$10</f>
        <v>406325700.103132</v>
      </c>
      <c r="CL23" s="57" t="n">
        <f aca="false">(Supuestos!$C$205)*(1+Supuestos!$C$36)^10*Estacionalidad!F$13+Programas!CL$10</f>
        <v>406325700.103132</v>
      </c>
      <c r="CM23" s="57" t="n">
        <f aca="false">(Supuestos!$C$205)*(1+Supuestos!$C$36)^10*Estacionalidad!G$13+Programas!CM$10</f>
        <v>406325700.103132</v>
      </c>
      <c r="CN23" s="57" t="n">
        <f aca="false">(Supuestos!$C$205)*(1+Supuestos!$C$36)^10*Estacionalidad!H$13+Programas!CN$10</f>
        <v>406325700.103132</v>
      </c>
      <c r="CO23" s="57" t="n">
        <f aca="false">(Supuestos!$C$205)*(1+Supuestos!$C$36)^10*Estacionalidad!I$13+Programas!CO$10</f>
        <v>406325700.103132</v>
      </c>
      <c r="CP23" s="57" t="n">
        <f aca="false">(Supuestos!$C$205)*(1+Supuestos!$C$36)^10*Estacionalidad!J$13+Programas!CP$10</f>
        <v>406325700.103132</v>
      </c>
      <c r="CQ23" s="57" t="n">
        <f aca="false">(Supuestos!$C$205)*(1+Supuestos!$C$36)^10*Estacionalidad!K$13+Programas!CQ$10</f>
        <v>406325700.103132</v>
      </c>
      <c r="CR23" s="57" t="n">
        <f aca="false">(Supuestos!$C$205)*(1+Supuestos!$C$36)^10*Estacionalidad!L$13+Programas!CR$10</f>
        <v>406325700.103132</v>
      </c>
      <c r="CS23" s="57" t="n">
        <f aca="false">(Supuestos!$C$205)*(1+Supuestos!$C$36)^10*Estacionalidad!M$13+Programas!CS$10</f>
        <v>406325700.103132</v>
      </c>
      <c r="CT23" s="57" t="n">
        <f aca="false">(Supuestos!$C$205)*(1+Supuestos!$C$36)^10*Estacionalidad!N$13+Programas!CT$10</f>
        <v>402095494.537192</v>
      </c>
    </row>
    <row r="24" customFormat="false" ht="15" hidden="false" customHeight="true" outlineLevel="0" collapsed="false">
      <c r="B24" s="19" t="s">
        <v>646</v>
      </c>
      <c r="C24" s="57" t="n">
        <f aca="false">(Supuestos!$C$206)*(1+Supuestos!$C$36)^3*Estacionalidad!C$13</f>
        <v>179496295.31385</v>
      </c>
      <c r="D24" s="57" t="n">
        <f aca="false">(Supuestos!$C$206)*(1+Supuestos!$C$36)^3*Estacionalidad!D$13</f>
        <v>181712298.9597</v>
      </c>
      <c r="E24" s="57" t="n">
        <f aca="false">(Supuestos!$C$206)*(1+Supuestos!$C$36)^3*Estacionalidad!E$13</f>
        <v>186144306.2514</v>
      </c>
      <c r="F24" s="57" t="n">
        <f aca="false">(Supuestos!$C$206)*(1+Supuestos!$C$36)^3*Estacionalidad!F$13</f>
        <v>186144306.2514</v>
      </c>
      <c r="G24" s="57" t="n">
        <f aca="false">(Supuestos!$C$206)*(1+Supuestos!$C$36)^3*Estacionalidad!G$13</f>
        <v>186144306.2514</v>
      </c>
      <c r="H24" s="57" t="n">
        <f aca="false">(Supuestos!$C$206)*(1+Supuestos!$C$36)^3*Estacionalidad!H$13</f>
        <v>186144306.2514</v>
      </c>
      <c r="I24" s="57" t="n">
        <f aca="false">(Supuestos!$C$206)*(1+Supuestos!$C$36)^3*Estacionalidad!I$13</f>
        <v>186144306.2514</v>
      </c>
      <c r="J24" s="57" t="n">
        <f aca="false">(Supuestos!$C$206)*(1+Supuestos!$C$36)^3*Estacionalidad!J$13</f>
        <v>186144306.2514</v>
      </c>
      <c r="K24" s="57" t="n">
        <f aca="false">(Supuestos!$C$206)*(1+Supuestos!$C$36)^3*Estacionalidad!K$13</f>
        <v>186144306.2514</v>
      </c>
      <c r="L24" s="57" t="n">
        <f aca="false">(Supuestos!$C$206)*(1+Supuestos!$C$36)^3*Estacionalidad!L$13</f>
        <v>186144306.2514</v>
      </c>
      <c r="M24" s="57" t="n">
        <f aca="false">(Supuestos!$C$206)*(1+Supuestos!$C$36)^3*Estacionalidad!M$13</f>
        <v>186144306.2514</v>
      </c>
      <c r="N24" s="57" t="n">
        <f aca="false">(Supuestos!$C$206)*(1+Supuestos!$C$36)^3*Estacionalidad!N$13</f>
        <v>179496295.31385</v>
      </c>
      <c r="O24" s="57" t="n">
        <f aca="false">(Supuestos!$C$206)*(1+Supuestos!$C$36)^4*Estacionalidad!C$13</f>
        <v>179496295.31385</v>
      </c>
      <c r="P24" s="57" t="n">
        <f aca="false">(Supuestos!$C$206)*(1+Supuestos!$C$36)^4*Estacionalidad!D$13</f>
        <v>181712298.9597</v>
      </c>
      <c r="Q24" s="57" t="n">
        <f aca="false">(Supuestos!$C$206)*(1+Supuestos!$C$36)^4*Estacionalidad!E$13</f>
        <v>186144306.2514</v>
      </c>
      <c r="R24" s="57" t="n">
        <f aca="false">(Supuestos!$C$206)*(1+Supuestos!$C$36)^4*Estacionalidad!F$13</f>
        <v>186144306.2514</v>
      </c>
      <c r="S24" s="57" t="n">
        <f aca="false">(Supuestos!$C$206)*(1+Supuestos!$C$36)^4*Estacionalidad!G$13</f>
        <v>186144306.2514</v>
      </c>
      <c r="T24" s="57" t="n">
        <f aca="false">(Supuestos!$C$206)*(1+Supuestos!$C$36)^4*Estacionalidad!H$13</f>
        <v>186144306.2514</v>
      </c>
      <c r="U24" s="57" t="n">
        <f aca="false">(Supuestos!$C$206)*(1+Supuestos!$C$36)^4*Estacionalidad!I$13</f>
        <v>186144306.2514</v>
      </c>
      <c r="V24" s="57" t="n">
        <f aca="false">(Supuestos!$C$206)*(1+Supuestos!$C$36)^4*Estacionalidad!J$13</f>
        <v>186144306.2514</v>
      </c>
      <c r="W24" s="57" t="n">
        <f aca="false">(Supuestos!$C$206)*(1+Supuestos!$C$36)^4*Estacionalidad!K$13</f>
        <v>186144306.2514</v>
      </c>
      <c r="X24" s="57" t="n">
        <f aca="false">(Supuestos!$C$206)*(1+Supuestos!$C$36)^4*Estacionalidad!L$13</f>
        <v>186144306.2514</v>
      </c>
      <c r="Y24" s="57" t="n">
        <f aca="false">(Supuestos!$C$206)*(1+Supuestos!$C$36)^4*Estacionalidad!M$13</f>
        <v>186144306.2514</v>
      </c>
      <c r="Z24" s="57" t="n">
        <f aca="false">(Supuestos!$C$206)*(1+Supuestos!$C$36)^4*Estacionalidad!N$13</f>
        <v>179496295.31385</v>
      </c>
      <c r="AA24" s="57" t="n">
        <f aca="false">(Supuestos!$C$206)*(1+Supuestos!$C$36)^5*Estacionalidad!C$13</f>
        <v>179496295.31385</v>
      </c>
      <c r="AB24" s="57" t="n">
        <f aca="false">(Supuestos!$C$206)*(1+Supuestos!$C$36)^5*Estacionalidad!D$13</f>
        <v>181712298.9597</v>
      </c>
      <c r="AC24" s="57" t="n">
        <f aca="false">(Supuestos!$C$206)*(1+Supuestos!$C$36)^5*Estacionalidad!E$13</f>
        <v>186144306.2514</v>
      </c>
      <c r="AD24" s="57" t="n">
        <f aca="false">(Supuestos!$C$206)*(1+Supuestos!$C$36)^5*Estacionalidad!F$13</f>
        <v>186144306.2514</v>
      </c>
      <c r="AE24" s="57" t="n">
        <f aca="false">(Supuestos!$C$206)*(1+Supuestos!$C$36)^5*Estacionalidad!G$13</f>
        <v>186144306.2514</v>
      </c>
      <c r="AF24" s="57" t="n">
        <f aca="false">(Supuestos!$C$206)*(1+Supuestos!$C$36)^5*Estacionalidad!H$13</f>
        <v>186144306.2514</v>
      </c>
      <c r="AG24" s="57" t="n">
        <f aca="false">(Supuestos!$C$206)*(1+Supuestos!$C$36)^5*Estacionalidad!I$13</f>
        <v>186144306.2514</v>
      </c>
      <c r="AH24" s="57" t="n">
        <f aca="false">(Supuestos!$C$206)*(1+Supuestos!$C$36)^5*Estacionalidad!J$13</f>
        <v>186144306.2514</v>
      </c>
      <c r="AI24" s="57" t="n">
        <f aca="false">(Supuestos!$C$206)*(1+Supuestos!$C$36)^5*Estacionalidad!K$13</f>
        <v>186144306.2514</v>
      </c>
      <c r="AJ24" s="57" t="n">
        <f aca="false">(Supuestos!$C$206)*(1+Supuestos!$C$36)^5*Estacionalidad!L$13</f>
        <v>186144306.2514</v>
      </c>
      <c r="AK24" s="57" t="n">
        <f aca="false">(Supuestos!$C$206)*(1+Supuestos!$C$36)^5*Estacionalidad!M$13</f>
        <v>186144306.2514</v>
      </c>
      <c r="AL24" s="57" t="n">
        <f aca="false">(Supuestos!$C$206)*(1+Supuestos!$C$36)^5*Estacionalidad!N$13</f>
        <v>179496295.31385</v>
      </c>
      <c r="AM24" s="57" t="n">
        <f aca="false">(Supuestos!$C$206)*(1+Supuestos!$C$36)^6*Estacionalidad!C$13</f>
        <v>179496295.31385</v>
      </c>
      <c r="AN24" s="57" t="n">
        <f aca="false">(Supuestos!$C$206)*(1+Supuestos!$C$36)^6*Estacionalidad!D$13</f>
        <v>181712298.9597</v>
      </c>
      <c r="AO24" s="57" t="n">
        <f aca="false">(Supuestos!$C$206)*(1+Supuestos!$C$36)^6*Estacionalidad!E$13</f>
        <v>186144306.2514</v>
      </c>
      <c r="AP24" s="57" t="n">
        <f aca="false">(Supuestos!$C$206)*(1+Supuestos!$C$36)^6*Estacionalidad!F$13</f>
        <v>186144306.2514</v>
      </c>
      <c r="AQ24" s="57" t="n">
        <f aca="false">(Supuestos!$C$206)*(1+Supuestos!$C$36)^6*Estacionalidad!G$13</f>
        <v>186144306.2514</v>
      </c>
      <c r="AR24" s="57" t="n">
        <f aca="false">(Supuestos!$C$206)*(1+Supuestos!$C$36)^6*Estacionalidad!H$13</f>
        <v>186144306.2514</v>
      </c>
      <c r="AS24" s="57" t="n">
        <f aca="false">(Supuestos!$C$206)*(1+Supuestos!$C$36)^6*Estacionalidad!I$13</f>
        <v>186144306.2514</v>
      </c>
      <c r="AT24" s="57" t="n">
        <f aca="false">(Supuestos!$C$206)*(1+Supuestos!$C$36)^6*Estacionalidad!J$13</f>
        <v>186144306.2514</v>
      </c>
      <c r="AU24" s="57" t="n">
        <f aca="false">(Supuestos!$C$206)*(1+Supuestos!$C$36)^6*Estacionalidad!K$13</f>
        <v>186144306.2514</v>
      </c>
      <c r="AV24" s="57" t="n">
        <f aca="false">(Supuestos!$C$206)*(1+Supuestos!$C$36)^6*Estacionalidad!L$13</f>
        <v>186144306.2514</v>
      </c>
      <c r="AW24" s="57" t="n">
        <f aca="false">(Supuestos!$C$206)*(1+Supuestos!$C$36)^6*Estacionalidad!M$13</f>
        <v>186144306.2514</v>
      </c>
      <c r="AX24" s="57" t="n">
        <f aca="false">(Supuestos!$C$206)*(1+Supuestos!$C$36)^6*Estacionalidad!N$13</f>
        <v>179496295.31385</v>
      </c>
      <c r="AY24" s="57" t="n">
        <f aca="false">(Supuestos!$C$206)*(1+Supuestos!$C$36)^7*Estacionalidad!C$13</f>
        <v>179496295.31385</v>
      </c>
      <c r="AZ24" s="57" t="n">
        <f aca="false">(Supuestos!$C$206)*(1+Supuestos!$C$36)^7*Estacionalidad!D$13</f>
        <v>181712298.9597</v>
      </c>
      <c r="BA24" s="57" t="n">
        <f aca="false">(Supuestos!$C$206)*(1+Supuestos!$C$36)^7*Estacionalidad!E$13</f>
        <v>186144306.2514</v>
      </c>
      <c r="BB24" s="57" t="n">
        <f aca="false">(Supuestos!$C$206)*(1+Supuestos!$C$36)^7*Estacionalidad!F$13</f>
        <v>186144306.2514</v>
      </c>
      <c r="BC24" s="57" t="n">
        <f aca="false">(Supuestos!$C$206)*(1+Supuestos!$C$36)^7*Estacionalidad!G$13</f>
        <v>186144306.2514</v>
      </c>
      <c r="BD24" s="57" t="n">
        <f aca="false">(Supuestos!$C$206)*(1+Supuestos!$C$36)^7*Estacionalidad!H$13</f>
        <v>186144306.2514</v>
      </c>
      <c r="BE24" s="57" t="n">
        <f aca="false">(Supuestos!$C$206)*(1+Supuestos!$C$36)^7*Estacionalidad!I$13</f>
        <v>186144306.2514</v>
      </c>
      <c r="BF24" s="57" t="n">
        <f aca="false">(Supuestos!$C$206)*(1+Supuestos!$C$36)^7*Estacionalidad!J$13</f>
        <v>186144306.2514</v>
      </c>
      <c r="BG24" s="57" t="n">
        <f aca="false">(Supuestos!$C$206)*(1+Supuestos!$C$36)^7*Estacionalidad!K$13</f>
        <v>186144306.2514</v>
      </c>
      <c r="BH24" s="57" t="n">
        <f aca="false">(Supuestos!$C$206)*(1+Supuestos!$C$36)^7*Estacionalidad!L$13</f>
        <v>186144306.2514</v>
      </c>
      <c r="BI24" s="57" t="n">
        <f aca="false">(Supuestos!$C$206)*(1+Supuestos!$C$36)^7*Estacionalidad!M$13</f>
        <v>186144306.2514</v>
      </c>
      <c r="BJ24" s="57" t="n">
        <f aca="false">(Supuestos!$C$206)*(1+Supuestos!$C$36)^7*Estacionalidad!N$13</f>
        <v>179496295.31385</v>
      </c>
      <c r="BK24" s="57" t="n">
        <f aca="false">(Supuestos!$C$206)*(1+Supuestos!$C$36)^8*Estacionalidad!C$13</f>
        <v>179496295.31385</v>
      </c>
      <c r="BL24" s="57" t="n">
        <f aca="false">(Supuestos!$C$206)*(1+Supuestos!$C$36)^8*Estacionalidad!D$13</f>
        <v>181712298.9597</v>
      </c>
      <c r="BM24" s="57" t="n">
        <f aca="false">(Supuestos!$C$206)*(1+Supuestos!$C$36)^8*Estacionalidad!E$13</f>
        <v>186144306.2514</v>
      </c>
      <c r="BN24" s="57" t="n">
        <f aca="false">(Supuestos!$C$206)*(1+Supuestos!$C$36)^8*Estacionalidad!F$13</f>
        <v>186144306.2514</v>
      </c>
      <c r="BO24" s="57" t="n">
        <f aca="false">(Supuestos!$C$206)*(1+Supuestos!$C$36)^8*Estacionalidad!G$13</f>
        <v>186144306.2514</v>
      </c>
      <c r="BP24" s="57" t="n">
        <f aca="false">(Supuestos!$C$206)*(1+Supuestos!$C$36)^8*Estacionalidad!H$13</f>
        <v>186144306.2514</v>
      </c>
      <c r="BQ24" s="57" t="n">
        <f aca="false">(Supuestos!$C$206)*(1+Supuestos!$C$36)^8*Estacionalidad!I$13</f>
        <v>186144306.2514</v>
      </c>
      <c r="BR24" s="57" t="n">
        <f aca="false">(Supuestos!$C$206)*(1+Supuestos!$C$36)^8*Estacionalidad!J$13</f>
        <v>186144306.2514</v>
      </c>
      <c r="BS24" s="57" t="n">
        <f aca="false">(Supuestos!$C$206)*(1+Supuestos!$C$36)^8*Estacionalidad!K$13</f>
        <v>186144306.2514</v>
      </c>
      <c r="BT24" s="57" t="n">
        <f aca="false">(Supuestos!$C$206)*(1+Supuestos!$C$36)^8*Estacionalidad!L$13</f>
        <v>186144306.2514</v>
      </c>
      <c r="BU24" s="57" t="n">
        <f aca="false">(Supuestos!$C$206)*(1+Supuestos!$C$36)^8*Estacionalidad!M$13</f>
        <v>186144306.2514</v>
      </c>
      <c r="BV24" s="57" t="n">
        <f aca="false">(Supuestos!$C$206)*(1+Supuestos!$C$36)^8*Estacionalidad!N$13</f>
        <v>179496295.31385</v>
      </c>
      <c r="BW24" s="57" t="n">
        <f aca="false">(Supuestos!$C$206)*(1+Supuestos!$C$36)^9*Estacionalidad!C$13</f>
        <v>179496295.31385</v>
      </c>
      <c r="BX24" s="57" t="n">
        <f aca="false">(Supuestos!$C$206)*(1+Supuestos!$C$36)^9*Estacionalidad!D$13</f>
        <v>181712298.9597</v>
      </c>
      <c r="BY24" s="57" t="n">
        <f aca="false">(Supuestos!$C$206)*(1+Supuestos!$C$36)^9*Estacionalidad!E$13</f>
        <v>186144306.2514</v>
      </c>
      <c r="BZ24" s="57" t="n">
        <f aca="false">(Supuestos!$C$206)*(1+Supuestos!$C$36)^9*Estacionalidad!F$13</f>
        <v>186144306.2514</v>
      </c>
      <c r="CA24" s="57" t="n">
        <f aca="false">(Supuestos!$C$206)*(1+Supuestos!$C$36)^9*Estacionalidad!G$13</f>
        <v>186144306.2514</v>
      </c>
      <c r="CB24" s="57" t="n">
        <f aca="false">(Supuestos!$C$206)*(1+Supuestos!$C$36)^9*Estacionalidad!H$13</f>
        <v>186144306.2514</v>
      </c>
      <c r="CC24" s="57" t="n">
        <f aca="false">(Supuestos!$C$206)*(1+Supuestos!$C$36)^9*Estacionalidad!I$13</f>
        <v>186144306.2514</v>
      </c>
      <c r="CD24" s="57" t="n">
        <f aca="false">(Supuestos!$C$206)*(1+Supuestos!$C$36)^9*Estacionalidad!J$13</f>
        <v>186144306.2514</v>
      </c>
      <c r="CE24" s="57" t="n">
        <f aca="false">(Supuestos!$C$206)*(1+Supuestos!$C$36)^9*Estacionalidad!K$13</f>
        <v>186144306.2514</v>
      </c>
      <c r="CF24" s="57" t="n">
        <f aca="false">(Supuestos!$C$206)*(1+Supuestos!$C$36)^9*Estacionalidad!L$13</f>
        <v>186144306.2514</v>
      </c>
      <c r="CG24" s="57" t="n">
        <f aca="false">(Supuestos!$C$206)*(1+Supuestos!$C$36)^9*Estacionalidad!M$13</f>
        <v>186144306.2514</v>
      </c>
      <c r="CH24" s="57" t="n">
        <f aca="false">(Supuestos!$C$206)*(1+Supuestos!$C$36)^9*Estacionalidad!N$13</f>
        <v>179496295.31385</v>
      </c>
      <c r="CI24" s="57" t="n">
        <f aca="false">(Supuestos!$C$206)*(1+Supuestos!$C$36)^10*Estacionalidad!C$13</f>
        <v>179496295.31385</v>
      </c>
      <c r="CJ24" s="57" t="n">
        <f aca="false">(Supuestos!$C$206)*(1+Supuestos!$C$36)^10*Estacionalidad!D$13</f>
        <v>181712298.9597</v>
      </c>
      <c r="CK24" s="57" t="n">
        <f aca="false">(Supuestos!$C$206)*(1+Supuestos!$C$36)^10*Estacionalidad!E$13</f>
        <v>186144306.2514</v>
      </c>
      <c r="CL24" s="57" t="n">
        <f aca="false">(Supuestos!$C$206)*(1+Supuestos!$C$36)^10*Estacionalidad!F$13</f>
        <v>186144306.2514</v>
      </c>
      <c r="CM24" s="57" t="n">
        <f aca="false">(Supuestos!$C$206)*(1+Supuestos!$C$36)^10*Estacionalidad!G$13</f>
        <v>186144306.2514</v>
      </c>
      <c r="CN24" s="57" t="n">
        <f aca="false">(Supuestos!$C$206)*(1+Supuestos!$C$36)^10*Estacionalidad!H$13</f>
        <v>186144306.2514</v>
      </c>
      <c r="CO24" s="57" t="n">
        <f aca="false">(Supuestos!$C$206)*(1+Supuestos!$C$36)^10*Estacionalidad!I$13</f>
        <v>186144306.2514</v>
      </c>
      <c r="CP24" s="57" t="n">
        <f aca="false">(Supuestos!$C$206)*(1+Supuestos!$C$36)^10*Estacionalidad!J$13</f>
        <v>186144306.2514</v>
      </c>
      <c r="CQ24" s="57" t="n">
        <f aca="false">(Supuestos!$C$206)*(1+Supuestos!$C$36)^10*Estacionalidad!K$13</f>
        <v>186144306.2514</v>
      </c>
      <c r="CR24" s="57" t="n">
        <f aca="false">(Supuestos!$C$206)*(1+Supuestos!$C$36)^10*Estacionalidad!L$13</f>
        <v>186144306.2514</v>
      </c>
      <c r="CS24" s="57" t="n">
        <f aca="false">(Supuestos!$C$206)*(1+Supuestos!$C$36)^10*Estacionalidad!M$13</f>
        <v>186144306.2514</v>
      </c>
      <c r="CT24" s="57" t="n">
        <f aca="false">(Supuestos!$C$206)*(1+Supuestos!$C$36)^10*Estacionalidad!N$13</f>
        <v>179496295.31385</v>
      </c>
    </row>
    <row r="25" customFormat="false" ht="15" hidden="false" customHeight="true" outlineLevel="0" collapsed="false">
      <c r="B25" s="19" t="s">
        <v>351</v>
      </c>
      <c r="C25" s="57" t="n">
        <f aca="false">Deuda!C$9</f>
        <v>154782891.222222</v>
      </c>
      <c r="D25" s="57" t="n">
        <f aca="false">Deuda!D$9</f>
        <v>3904782891.22222</v>
      </c>
      <c r="E25" s="57" t="n">
        <f aca="false">Deuda!E$9</f>
        <v>154782891.222222</v>
      </c>
      <c r="F25" s="57" t="n">
        <f aca="false">Deuda!F$9</f>
        <v>154782891.222222</v>
      </c>
      <c r="G25" s="57" t="n">
        <f aca="false">Deuda!G$9</f>
        <v>3904782891.22222</v>
      </c>
      <c r="H25" s="57" t="n">
        <f aca="false">Deuda!H$9</f>
        <v>154782891.222222</v>
      </c>
      <c r="I25" s="57" t="n">
        <f aca="false">Deuda!I$9</f>
        <v>154782891.222222</v>
      </c>
      <c r="J25" s="57" t="n">
        <f aca="false">Deuda!J$9</f>
        <v>3904782891.22222</v>
      </c>
      <c r="K25" s="57" t="n">
        <f aca="false">Deuda!K$9</f>
        <v>154782891.222222</v>
      </c>
      <c r="L25" s="57" t="n">
        <f aca="false">Deuda!L$9</f>
        <v>154782891.222222</v>
      </c>
      <c r="M25" s="57" t="n">
        <f aca="false">Deuda!M$9</f>
        <v>3904782891.22222</v>
      </c>
      <c r="N25" s="57" t="n">
        <f aca="false">Deuda!N$9</f>
        <v>154782891.222222</v>
      </c>
      <c r="O25" s="57" t="n">
        <f aca="false">Deuda!O$9</f>
        <v>154782891.222222</v>
      </c>
      <c r="P25" s="57" t="n">
        <f aca="false">Deuda!P$9</f>
        <v>3904782891.22222</v>
      </c>
      <c r="Q25" s="57" t="n">
        <f aca="false">Deuda!Q$9</f>
        <v>154782891.222222</v>
      </c>
      <c r="R25" s="57" t="n">
        <f aca="false">Deuda!R$9</f>
        <v>154782891.222222</v>
      </c>
      <c r="S25" s="57" t="n">
        <f aca="false">Deuda!S$9</f>
        <v>3904782891.22222</v>
      </c>
      <c r="T25" s="57" t="n">
        <f aca="false">Deuda!T$9</f>
        <v>154782891.222222</v>
      </c>
      <c r="U25" s="57" t="n">
        <f aca="false">Deuda!U$9</f>
        <v>154782891.222222</v>
      </c>
      <c r="V25" s="57" t="n">
        <f aca="false">Deuda!V$9</f>
        <v>3904782891.22222</v>
      </c>
      <c r="W25" s="57" t="n">
        <f aca="false">Deuda!W$9</f>
        <v>154782891.222222</v>
      </c>
      <c r="X25" s="57" t="n">
        <f aca="false">Deuda!X$9</f>
        <v>154782891.222222</v>
      </c>
      <c r="Y25" s="57" t="n">
        <f aca="false">Deuda!Y$9</f>
        <v>154782891.222222</v>
      </c>
      <c r="Z25" s="57" t="n">
        <f aca="false">Deuda!Z$9</f>
        <v>154782891.22222</v>
      </c>
      <c r="AA25" s="57" t="n">
        <f aca="false">Deuda!AA$9</f>
        <v>0</v>
      </c>
      <c r="AB25" s="57" t="n">
        <f aca="false">Deuda!AB$9</f>
        <v>0</v>
      </c>
      <c r="AC25" s="57" t="n">
        <f aca="false">Deuda!AC$9</f>
        <v>0</v>
      </c>
      <c r="AD25" s="57" t="n">
        <f aca="false">Deuda!AD$9</f>
        <v>0</v>
      </c>
      <c r="AE25" s="57" t="n">
        <f aca="false">Deuda!AE$9</f>
        <v>0</v>
      </c>
      <c r="AF25" s="57" t="n">
        <f aca="false">Deuda!AF$9</f>
        <v>0</v>
      </c>
      <c r="AG25" s="57" t="n">
        <f aca="false">Deuda!AG$9</f>
        <v>0</v>
      </c>
      <c r="AH25" s="57" t="n">
        <f aca="false">Deuda!AH$9</f>
        <v>0</v>
      </c>
      <c r="AI25" s="57" t="n">
        <f aca="false">Deuda!AI$9</f>
        <v>0</v>
      </c>
      <c r="AJ25" s="57" t="n">
        <f aca="false">Deuda!AJ$9</f>
        <v>0</v>
      </c>
      <c r="AK25" s="57" t="n">
        <f aca="false">Deuda!AK$9</f>
        <v>0</v>
      </c>
      <c r="AL25" s="57" t="n">
        <f aca="false">Deuda!AL$9</f>
        <v>0</v>
      </c>
      <c r="AM25" s="57" t="n">
        <f aca="false">Deuda!AM$9</f>
        <v>0</v>
      </c>
      <c r="AN25" s="57" t="n">
        <f aca="false">Deuda!AN$9</f>
        <v>0</v>
      </c>
      <c r="AO25" s="57" t="n">
        <f aca="false">Deuda!AO$9</f>
        <v>0</v>
      </c>
      <c r="AP25" s="57" t="n">
        <f aca="false">Deuda!AP$9</f>
        <v>0</v>
      </c>
      <c r="AQ25" s="57" t="n">
        <f aca="false">Deuda!AQ$9</f>
        <v>0</v>
      </c>
      <c r="AR25" s="57" t="n">
        <f aca="false">Deuda!AR$9</f>
        <v>0</v>
      </c>
      <c r="AS25" s="57" t="n">
        <f aca="false">Deuda!AS$9</f>
        <v>0</v>
      </c>
      <c r="AT25" s="57" t="n">
        <f aca="false">Deuda!AT$9</f>
        <v>0</v>
      </c>
      <c r="AU25" s="57" t="n">
        <f aca="false">Deuda!AU$9</f>
        <v>0</v>
      </c>
      <c r="AV25" s="57" t="n">
        <f aca="false">Deuda!AV$9</f>
        <v>0</v>
      </c>
      <c r="AW25" s="57" t="n">
        <f aca="false">Deuda!AW$9</f>
        <v>0</v>
      </c>
      <c r="AX25" s="57" t="n">
        <f aca="false">Deuda!AX$9</f>
        <v>0</v>
      </c>
      <c r="AY25" s="57" t="n">
        <f aca="false">Deuda!AY$9</f>
        <v>0</v>
      </c>
      <c r="AZ25" s="57" t="n">
        <f aca="false">Deuda!AZ$9</f>
        <v>0</v>
      </c>
      <c r="BA25" s="57" t="n">
        <f aca="false">Deuda!BA$9</f>
        <v>0</v>
      </c>
      <c r="BB25" s="57" t="n">
        <f aca="false">Deuda!BB$9</f>
        <v>0</v>
      </c>
      <c r="BC25" s="57" t="n">
        <f aca="false">Deuda!BC$9</f>
        <v>0</v>
      </c>
      <c r="BD25" s="57" t="n">
        <f aca="false">Deuda!BD$9</f>
        <v>0</v>
      </c>
      <c r="BE25" s="57" t="n">
        <f aca="false">Deuda!BE$9</f>
        <v>0</v>
      </c>
      <c r="BF25" s="57" t="n">
        <f aca="false">Deuda!BF$9</f>
        <v>0</v>
      </c>
      <c r="BG25" s="57" t="n">
        <f aca="false">Deuda!BG$9</f>
        <v>0</v>
      </c>
      <c r="BH25" s="57" t="n">
        <f aca="false">Deuda!BH$9</f>
        <v>0</v>
      </c>
      <c r="BI25" s="57" t="n">
        <f aca="false">Deuda!BI$9</f>
        <v>0</v>
      </c>
      <c r="BJ25" s="57" t="n">
        <f aca="false">Deuda!BJ$9</f>
        <v>0</v>
      </c>
      <c r="BK25" s="57" t="n">
        <f aca="false">Deuda!BK$9</f>
        <v>0</v>
      </c>
      <c r="BL25" s="57" t="n">
        <f aca="false">Deuda!BL$9</f>
        <v>0</v>
      </c>
      <c r="BM25" s="57" t="n">
        <f aca="false">Deuda!BM$9</f>
        <v>0</v>
      </c>
      <c r="BN25" s="57" t="n">
        <f aca="false">Deuda!BN$9</f>
        <v>0</v>
      </c>
      <c r="BO25" s="57" t="n">
        <f aca="false">Deuda!BO$9</f>
        <v>0</v>
      </c>
      <c r="BP25" s="57" t="n">
        <f aca="false">Deuda!BP$9</f>
        <v>0</v>
      </c>
      <c r="BQ25" s="57" t="n">
        <f aca="false">Deuda!BQ$9</f>
        <v>0</v>
      </c>
      <c r="BR25" s="57" t="n">
        <f aca="false">Deuda!BR$9</f>
        <v>0</v>
      </c>
      <c r="BS25" s="57" t="n">
        <f aca="false">Deuda!BS$9</f>
        <v>0</v>
      </c>
      <c r="BT25" s="57" t="n">
        <f aca="false">Deuda!BT$9</f>
        <v>0</v>
      </c>
      <c r="BU25" s="57" t="n">
        <f aca="false">Deuda!BU$9</f>
        <v>0</v>
      </c>
      <c r="BV25" s="57" t="n">
        <f aca="false">Deuda!BV$9</f>
        <v>0</v>
      </c>
      <c r="BW25" s="57" t="n">
        <f aca="false">Deuda!BW$9</f>
        <v>0</v>
      </c>
      <c r="BX25" s="57" t="n">
        <f aca="false">Deuda!BX$9</f>
        <v>0</v>
      </c>
      <c r="BY25" s="57" t="n">
        <f aca="false">Deuda!BY$9</f>
        <v>0</v>
      </c>
      <c r="BZ25" s="57" t="n">
        <f aca="false">Deuda!BZ$9</f>
        <v>0</v>
      </c>
      <c r="CA25" s="57" t="n">
        <f aca="false">Deuda!CA$9</f>
        <v>0</v>
      </c>
      <c r="CB25" s="57" t="n">
        <f aca="false">Deuda!CB$9</f>
        <v>0</v>
      </c>
      <c r="CC25" s="57" t="n">
        <f aca="false">Deuda!CC$9</f>
        <v>0</v>
      </c>
      <c r="CD25" s="57" t="n">
        <f aca="false">Deuda!CD$9</f>
        <v>0</v>
      </c>
      <c r="CE25" s="57" t="n">
        <f aca="false">Deuda!CE$9</f>
        <v>0</v>
      </c>
      <c r="CF25" s="57" t="n">
        <f aca="false">Deuda!CF$9</f>
        <v>0</v>
      </c>
      <c r="CG25" s="57" t="n">
        <f aca="false">Deuda!CG$9</f>
        <v>0</v>
      </c>
      <c r="CH25" s="57" t="n">
        <f aca="false">Deuda!CH$9</f>
        <v>0</v>
      </c>
      <c r="CI25" s="57" t="n">
        <f aca="false">Deuda!CI$9</f>
        <v>0</v>
      </c>
      <c r="CJ25" s="57" t="n">
        <f aca="false">Deuda!CJ$9</f>
        <v>0</v>
      </c>
      <c r="CK25" s="57" t="n">
        <f aca="false">Deuda!CK$9</f>
        <v>0</v>
      </c>
      <c r="CL25" s="57" t="n">
        <f aca="false">Deuda!CL$9</f>
        <v>0</v>
      </c>
      <c r="CM25" s="57" t="n">
        <f aca="false">Deuda!CM$9</f>
        <v>0</v>
      </c>
      <c r="CN25" s="57" t="n">
        <f aca="false">Deuda!CN$9</f>
        <v>0</v>
      </c>
      <c r="CO25" s="57" t="n">
        <f aca="false">Deuda!CO$9</f>
        <v>0</v>
      </c>
      <c r="CP25" s="57" t="n">
        <f aca="false">Deuda!CP$9</f>
        <v>0</v>
      </c>
      <c r="CQ25" s="57" t="n">
        <f aca="false">Deuda!CQ$9</f>
        <v>0</v>
      </c>
      <c r="CR25" s="57" t="n">
        <f aca="false">Deuda!CR$9</f>
        <v>0</v>
      </c>
      <c r="CS25" s="57" t="n">
        <f aca="false">Deuda!CS$9</f>
        <v>0</v>
      </c>
      <c r="CT25" s="57" t="n">
        <f aca="false">Deuda!CT$9</f>
        <v>0</v>
      </c>
    </row>
    <row r="26" customFormat="false" ht="15" hidden="false" customHeight="true" outlineLevel="0" collapsed="false">
      <c r="A26" s="2"/>
      <c r="B26" s="19" t="s">
        <v>647</v>
      </c>
      <c r="C26" s="57" t="n">
        <f aca="false">Programas!C$13</f>
        <v>3875000</v>
      </c>
      <c r="D26" s="57" t="n">
        <f aca="false">Programas!D$13</f>
        <v>3875000</v>
      </c>
      <c r="E26" s="57" t="n">
        <f aca="false">Programas!E$13</f>
        <v>3875000</v>
      </c>
      <c r="F26" s="57" t="n">
        <f aca="false">Programas!F$13</f>
        <v>3875000</v>
      </c>
      <c r="G26" s="57" t="n">
        <f aca="false">Programas!G$13</f>
        <v>3875000</v>
      </c>
      <c r="H26" s="57" t="n">
        <f aca="false">Programas!H$13</f>
        <v>3875000</v>
      </c>
      <c r="I26" s="57" t="n">
        <f aca="false">Programas!I$13</f>
        <v>3875000</v>
      </c>
      <c r="J26" s="57" t="n">
        <f aca="false">Programas!J$13</f>
        <v>3875000</v>
      </c>
      <c r="K26" s="57" t="n">
        <f aca="false">Programas!K$13</f>
        <v>17916666.6666667</v>
      </c>
      <c r="L26" s="57" t="n">
        <f aca="false">Programas!L$13</f>
        <v>17916666.6666667</v>
      </c>
      <c r="M26" s="57" t="n">
        <f aca="false">Programas!M$13</f>
        <v>17916666.6666667</v>
      </c>
      <c r="N26" s="57" t="n">
        <f aca="false">Programas!N$13</f>
        <v>17916666.6666667</v>
      </c>
      <c r="O26" s="57" t="n">
        <f aca="false">Programas!O$13</f>
        <v>14041666.6666667</v>
      </c>
      <c r="P26" s="57" t="n">
        <f aca="false">Programas!P$13</f>
        <v>14041666.6666667</v>
      </c>
      <c r="Q26" s="57" t="n">
        <f aca="false">Programas!Q$13</f>
        <v>14041666.6666667</v>
      </c>
      <c r="R26" s="57" t="n">
        <f aca="false">Programas!R$13</f>
        <v>14041666.6666667</v>
      </c>
      <c r="S26" s="57" t="n">
        <f aca="false">Programas!S$13</f>
        <v>14041666.6666667</v>
      </c>
      <c r="T26" s="57" t="n">
        <f aca="false">Programas!T$13</f>
        <v>14041666.6666667</v>
      </c>
      <c r="U26" s="57" t="n">
        <f aca="false">Programas!U$13</f>
        <v>14041666.6666667</v>
      </c>
      <c r="V26" s="57" t="n">
        <f aca="false">Programas!V$13</f>
        <v>14041666.6666667</v>
      </c>
      <c r="W26" s="57" t="n">
        <f aca="false">Programas!W$13</f>
        <v>14041666.6666667</v>
      </c>
      <c r="X26" s="57" t="n">
        <f aca="false">Programas!X$13</f>
        <v>14041666.6666667</v>
      </c>
      <c r="Y26" s="57" t="n">
        <f aca="false">Programas!Y$13</f>
        <v>14041666.6666667</v>
      </c>
      <c r="Z26" s="57" t="n">
        <f aca="false">Programas!Z$13</f>
        <v>14041666.6666667</v>
      </c>
      <c r="AA26" s="57" t="n">
        <f aca="false">Programas!AA$13</f>
        <v>14041666.6666667</v>
      </c>
      <c r="AB26" s="57" t="n">
        <f aca="false">Programas!AB$13</f>
        <v>14041666.6666667</v>
      </c>
      <c r="AC26" s="57" t="n">
        <f aca="false">Programas!AC$13</f>
        <v>14041666.6666667</v>
      </c>
      <c r="AD26" s="57" t="n">
        <f aca="false">Programas!AD$13</f>
        <v>14041666.6666667</v>
      </c>
      <c r="AE26" s="57" t="n">
        <f aca="false">Programas!AE$13</f>
        <v>14041666.6666667</v>
      </c>
      <c r="AF26" s="57" t="n">
        <f aca="false">Programas!AF$13</f>
        <v>14041666.6666667</v>
      </c>
      <c r="AG26" s="57" t="n">
        <f aca="false">Programas!AG$13</f>
        <v>14041666.6666667</v>
      </c>
      <c r="AH26" s="57" t="n">
        <f aca="false">Programas!AH$13</f>
        <v>14041666.6666667</v>
      </c>
      <c r="AI26" s="57" t="n">
        <f aca="false">Programas!AI$13</f>
        <v>14041666.6666667</v>
      </c>
      <c r="AJ26" s="57" t="n">
        <f aca="false">Programas!AJ$13</f>
        <v>14041666.6666667</v>
      </c>
      <c r="AK26" s="57" t="n">
        <f aca="false">Programas!AK$13</f>
        <v>14041666.6666667</v>
      </c>
      <c r="AL26" s="57" t="n">
        <f aca="false">Programas!AL$13</f>
        <v>14041666.6666667</v>
      </c>
      <c r="AM26" s="57" t="n">
        <f aca="false">Programas!AM$13</f>
        <v>14041666.6666667</v>
      </c>
      <c r="AN26" s="57" t="n">
        <f aca="false">Programas!AN$13</f>
        <v>14041666.6666667</v>
      </c>
      <c r="AO26" s="57" t="n">
        <f aca="false">Programas!AO$13</f>
        <v>14041666.6666667</v>
      </c>
      <c r="AP26" s="57" t="n">
        <f aca="false">Programas!AP$13</f>
        <v>14041666.6666667</v>
      </c>
      <c r="AQ26" s="57" t="n">
        <f aca="false">Programas!AQ$13</f>
        <v>14041666.6666667</v>
      </c>
      <c r="AR26" s="57" t="n">
        <f aca="false">Programas!AR$13</f>
        <v>14041666.6666667</v>
      </c>
      <c r="AS26" s="57" t="n">
        <f aca="false">Programas!AS$13</f>
        <v>14041666.6666667</v>
      </c>
      <c r="AT26" s="57" t="n">
        <f aca="false">Programas!AT$13</f>
        <v>14041666.6666667</v>
      </c>
      <c r="AU26" s="57" t="n">
        <f aca="false">Programas!AU$13</f>
        <v>14041666.6666667</v>
      </c>
      <c r="AV26" s="57" t="n">
        <f aca="false">Programas!AV$13</f>
        <v>14041666.6666667</v>
      </c>
      <c r="AW26" s="57" t="n">
        <f aca="false">Programas!AW$13</f>
        <v>14041666.6666667</v>
      </c>
      <c r="AX26" s="57" t="n">
        <f aca="false">Programas!AX$13</f>
        <v>14041666.6666667</v>
      </c>
      <c r="AY26" s="57" t="n">
        <f aca="false">Programas!AY$13</f>
        <v>14041666.6666667</v>
      </c>
      <c r="AZ26" s="57" t="n">
        <f aca="false">Programas!AZ$13</f>
        <v>14041666.6666667</v>
      </c>
      <c r="BA26" s="57" t="n">
        <f aca="false">Programas!BA$13</f>
        <v>14041666.6666667</v>
      </c>
      <c r="BB26" s="57" t="n">
        <f aca="false">Programas!BB$13</f>
        <v>14041666.6666667</v>
      </c>
      <c r="BC26" s="57" t="n">
        <f aca="false">Programas!BC$13</f>
        <v>14041666.6666667</v>
      </c>
      <c r="BD26" s="57" t="n">
        <f aca="false">Programas!BD$13</f>
        <v>14041666.6666667</v>
      </c>
      <c r="BE26" s="57" t="n">
        <f aca="false">Programas!BE$13</f>
        <v>14041666.6666667</v>
      </c>
      <c r="BF26" s="57" t="n">
        <f aca="false">Programas!BF$13</f>
        <v>14041666.6666667</v>
      </c>
      <c r="BG26" s="57" t="n">
        <f aca="false">Programas!BG$13</f>
        <v>14041666.6666667</v>
      </c>
      <c r="BH26" s="57" t="n">
        <f aca="false">Programas!BH$13</f>
        <v>14041666.6666667</v>
      </c>
      <c r="BI26" s="57" t="n">
        <f aca="false">Programas!BI$13</f>
        <v>14041666.6666667</v>
      </c>
      <c r="BJ26" s="57" t="n">
        <f aca="false">Programas!BJ$13</f>
        <v>14041666.6666667</v>
      </c>
      <c r="BK26" s="57" t="n">
        <f aca="false">Programas!BK$13</f>
        <v>14041666.6666667</v>
      </c>
      <c r="BL26" s="57" t="n">
        <f aca="false">Programas!BL$13</f>
        <v>14041666.6666667</v>
      </c>
      <c r="BM26" s="57" t="n">
        <f aca="false">Programas!BM$13</f>
        <v>14041666.6666667</v>
      </c>
      <c r="BN26" s="57" t="n">
        <f aca="false">Programas!BN$13</f>
        <v>14041666.6666667</v>
      </c>
      <c r="BO26" s="57" t="n">
        <f aca="false">Programas!BO$13</f>
        <v>14041666.6666667</v>
      </c>
      <c r="BP26" s="57" t="n">
        <f aca="false">Programas!BP$13</f>
        <v>14041666.6666667</v>
      </c>
      <c r="BQ26" s="57" t="n">
        <f aca="false">Programas!BQ$13</f>
        <v>14041666.6666667</v>
      </c>
      <c r="BR26" s="57" t="n">
        <f aca="false">Programas!BR$13</f>
        <v>14041666.6666667</v>
      </c>
      <c r="BS26" s="57" t="n">
        <f aca="false">Programas!BS$13</f>
        <v>14041666.6666667</v>
      </c>
      <c r="BT26" s="57" t="n">
        <f aca="false">Programas!BT$13</f>
        <v>14041666.6666667</v>
      </c>
      <c r="BU26" s="57" t="n">
        <f aca="false">Programas!BU$13</f>
        <v>14041666.6666667</v>
      </c>
      <c r="BV26" s="57" t="n">
        <f aca="false">Programas!BV$13</f>
        <v>14041666.6666667</v>
      </c>
      <c r="BW26" s="57" t="n">
        <f aca="false">Programas!BW$13</f>
        <v>14041666.6666667</v>
      </c>
      <c r="BX26" s="57" t="n">
        <f aca="false">Programas!BX$13</f>
        <v>14041666.6666667</v>
      </c>
      <c r="BY26" s="57" t="n">
        <f aca="false">Programas!BY$13</f>
        <v>14041666.6666667</v>
      </c>
      <c r="BZ26" s="57" t="n">
        <f aca="false">Programas!BZ$13</f>
        <v>14041666.6666667</v>
      </c>
      <c r="CA26" s="57" t="n">
        <f aca="false">Programas!CA$13</f>
        <v>14041666.6666667</v>
      </c>
      <c r="CB26" s="57" t="n">
        <f aca="false">Programas!CB$13</f>
        <v>14041666.6666667</v>
      </c>
      <c r="CC26" s="57" t="n">
        <f aca="false">Programas!CC$13</f>
        <v>14041666.6666667</v>
      </c>
      <c r="CD26" s="57" t="n">
        <f aca="false">Programas!CD$13</f>
        <v>14041666.6666667</v>
      </c>
      <c r="CE26" s="57" t="n">
        <f aca="false">Programas!CE$13</f>
        <v>14041666.6666667</v>
      </c>
      <c r="CF26" s="57" t="n">
        <f aca="false">Programas!CF$13</f>
        <v>14041666.6666667</v>
      </c>
      <c r="CG26" s="57" t="n">
        <f aca="false">Programas!CG$13</f>
        <v>14041666.6666667</v>
      </c>
      <c r="CH26" s="57" t="n">
        <f aca="false">Programas!CH$13</f>
        <v>14041666.6666667</v>
      </c>
      <c r="CI26" s="57" t="n">
        <f aca="false">Programas!CI$13</f>
        <v>14041666.6666667</v>
      </c>
      <c r="CJ26" s="57" t="n">
        <f aca="false">Programas!CJ$13</f>
        <v>14041666.6666667</v>
      </c>
      <c r="CK26" s="57" t="n">
        <f aca="false">Programas!CK$13</f>
        <v>14041666.6666667</v>
      </c>
      <c r="CL26" s="57" t="n">
        <f aca="false">Programas!CL$13</f>
        <v>14041666.6666667</v>
      </c>
      <c r="CM26" s="57" t="n">
        <f aca="false">Programas!CM$13</f>
        <v>14041666.6666667</v>
      </c>
      <c r="CN26" s="57" t="n">
        <f aca="false">Programas!CN$13</f>
        <v>14041666.6666667</v>
      </c>
      <c r="CO26" s="57" t="n">
        <f aca="false">Programas!CO$13</f>
        <v>14041666.6666667</v>
      </c>
      <c r="CP26" s="57" t="n">
        <f aca="false">Programas!CP$13</f>
        <v>14041666.6666667</v>
      </c>
      <c r="CQ26" s="57" t="n">
        <f aca="false">Programas!CQ$13</f>
        <v>14041666.6666667</v>
      </c>
      <c r="CR26" s="57" t="n">
        <f aca="false">Programas!CR$13</f>
        <v>14041666.6666667</v>
      </c>
      <c r="CS26" s="57" t="n">
        <f aca="false">Programas!CS$13</f>
        <v>14041666.6666667</v>
      </c>
      <c r="CT26" s="57" t="n">
        <f aca="false">Programas!CT$13</f>
        <v>14041666.6666667</v>
      </c>
    </row>
    <row r="27" customFormat="false" ht="27" hidden="false" customHeight="true" outlineLevel="0" collapsed="false">
      <c r="A27" s="2"/>
      <c r="B27" s="14" t="s">
        <v>648</v>
      </c>
      <c r="C27" s="57" t="n">
        <f aca="false">Programas!C$16</f>
        <v>-108031670.763335</v>
      </c>
      <c r="D27" s="57" t="n">
        <f aca="false">Programas!D$16</f>
        <v>-108031670.763335</v>
      </c>
      <c r="E27" s="57" t="n">
        <f aca="false">Programas!E$16</f>
        <v>-108031670.763335</v>
      </c>
      <c r="F27" s="57" t="n">
        <f aca="false">Programas!F$16</f>
        <v>-108031670.763335</v>
      </c>
      <c r="G27" s="57" t="n">
        <f aca="false">Programas!G$16</f>
        <v>-108031670.763335</v>
      </c>
      <c r="H27" s="57" t="n">
        <f aca="false">Programas!H$16</f>
        <v>-108031670.763335</v>
      </c>
      <c r="I27" s="57" t="n">
        <f aca="false">Programas!I$16</f>
        <v>-108031670.763335</v>
      </c>
      <c r="J27" s="57" t="n">
        <f aca="false">Programas!J$16</f>
        <v>-108031670.763335</v>
      </c>
      <c r="K27" s="57" t="n">
        <f aca="false">Programas!K$16</f>
        <v>-122073337.430002</v>
      </c>
      <c r="L27" s="57" t="n">
        <f aca="false">Programas!L$16</f>
        <v>-122073337.430002</v>
      </c>
      <c r="M27" s="57" t="n">
        <f aca="false">Programas!M$16</f>
        <v>-122073337.430002</v>
      </c>
      <c r="N27" s="57" t="n">
        <f aca="false">Programas!N$16</f>
        <v>-294073337.430002</v>
      </c>
      <c r="O27" s="57" t="n">
        <f aca="false">Programas!O$16</f>
        <v>-340402638.738571</v>
      </c>
      <c r="P27" s="57" t="n">
        <f aca="false">Programas!P$16</f>
        <v>-352397636.415939</v>
      </c>
      <c r="Q27" s="57" t="n">
        <f aca="false">Programas!Q$16</f>
        <v>-364392634.093306</v>
      </c>
      <c r="R27" s="57" t="n">
        <f aca="false">Programas!R$16</f>
        <v>-376387631.770673</v>
      </c>
      <c r="S27" s="57" t="n">
        <f aca="false">Programas!S$16</f>
        <v>-388382629.44804</v>
      </c>
      <c r="T27" s="57" t="n">
        <f aca="false">Programas!T$16</f>
        <v>-400377627.125407</v>
      </c>
      <c r="U27" s="57" t="n">
        <f aca="false">Programas!U$16</f>
        <v>-412372624.802775</v>
      </c>
      <c r="V27" s="57" t="n">
        <f aca="false">Programas!V$16</f>
        <v>-424367622.480142</v>
      </c>
      <c r="W27" s="57" t="n">
        <f aca="false">Programas!W$16</f>
        <v>-436362620.157509</v>
      </c>
      <c r="X27" s="57" t="n">
        <f aca="false">Programas!X$16</f>
        <v>-448357617.834876</v>
      </c>
      <c r="Y27" s="57" t="n">
        <f aca="false">Programas!Y$16</f>
        <v>-460352615.512243</v>
      </c>
      <c r="Z27" s="57" t="n">
        <f aca="false">Programas!Z$16</f>
        <v>-472347613.18961</v>
      </c>
      <c r="AA27" s="57" t="n">
        <f aca="false">Programas!AA$16</f>
        <v>-431976636.47244</v>
      </c>
      <c r="AB27" s="57" t="n">
        <f aca="false">Programas!AB$16</f>
        <v>-443971634.149807</v>
      </c>
      <c r="AC27" s="57" t="n">
        <f aca="false">Programas!AC$16</f>
        <v>-455966631.827175</v>
      </c>
      <c r="AD27" s="57" t="n">
        <f aca="false">Programas!AD$16</f>
        <v>-467961629.504542</v>
      </c>
      <c r="AE27" s="57" t="n">
        <f aca="false">Programas!AE$16</f>
        <v>-479956627.181909</v>
      </c>
      <c r="AF27" s="57" t="n">
        <f aca="false">Programas!AF$16</f>
        <v>-491951624.859276</v>
      </c>
      <c r="AG27" s="57" t="n">
        <f aca="false">Programas!AG$16</f>
        <v>-503946622.536643</v>
      </c>
      <c r="AH27" s="57" t="n">
        <f aca="false">Programas!AH$16</f>
        <v>-515941620.21401</v>
      </c>
      <c r="AI27" s="57" t="n">
        <f aca="false">Programas!AI$16</f>
        <v>-527936617.891378</v>
      </c>
      <c r="AJ27" s="57" t="n">
        <f aca="false">Programas!AJ$16</f>
        <v>-539931615.568745</v>
      </c>
      <c r="AK27" s="57" t="n">
        <f aca="false">Programas!AK$16</f>
        <v>-551926613.246112</v>
      </c>
      <c r="AL27" s="57" t="n">
        <f aca="false">Programas!AL$16</f>
        <v>-563921610.923479</v>
      </c>
      <c r="AM27" s="57" t="n">
        <f aca="false">Programas!AM$16</f>
        <v>-563921610.923479</v>
      </c>
      <c r="AN27" s="57" t="n">
        <f aca="false">Programas!AN$16</f>
        <v>-563921610.923479</v>
      </c>
      <c r="AO27" s="57" t="n">
        <f aca="false">Programas!AO$16</f>
        <v>-563921610.923479</v>
      </c>
      <c r="AP27" s="57" t="n">
        <f aca="false">Programas!AP$16</f>
        <v>-563921610.923479</v>
      </c>
      <c r="AQ27" s="57" t="n">
        <f aca="false">Programas!AQ$16</f>
        <v>-563921610.923479</v>
      </c>
      <c r="AR27" s="57" t="n">
        <f aca="false">Programas!AR$16</f>
        <v>-563921610.923479</v>
      </c>
      <c r="AS27" s="57" t="n">
        <f aca="false">Programas!AS$16</f>
        <v>-563921610.923479</v>
      </c>
      <c r="AT27" s="57" t="n">
        <f aca="false">Programas!AT$16</f>
        <v>-563921610.923479</v>
      </c>
      <c r="AU27" s="57" t="n">
        <f aca="false">Programas!AU$16</f>
        <v>-563921610.923479</v>
      </c>
      <c r="AV27" s="57" t="n">
        <f aca="false">Programas!AV$16</f>
        <v>-563921610.923479</v>
      </c>
      <c r="AW27" s="57" t="n">
        <f aca="false">Programas!AW$16</f>
        <v>-563921610.923479</v>
      </c>
      <c r="AX27" s="57" t="n">
        <f aca="false">Programas!AX$16</f>
        <v>-563921610.923479</v>
      </c>
      <c r="AY27" s="57" t="n">
        <f aca="false">Programas!AY$16</f>
        <v>-563921610.923479</v>
      </c>
      <c r="AZ27" s="57" t="n">
        <f aca="false">Programas!AZ$16</f>
        <v>-563921610.923479</v>
      </c>
      <c r="BA27" s="57" t="n">
        <f aca="false">Programas!BA$16</f>
        <v>-563921610.923479</v>
      </c>
      <c r="BB27" s="57" t="n">
        <f aca="false">Programas!BB$16</f>
        <v>-563921610.923479</v>
      </c>
      <c r="BC27" s="57" t="n">
        <f aca="false">Programas!BC$16</f>
        <v>-563921610.923479</v>
      </c>
      <c r="BD27" s="57" t="n">
        <f aca="false">Programas!BD$16</f>
        <v>-563921610.923479</v>
      </c>
      <c r="BE27" s="57" t="n">
        <f aca="false">Programas!BE$16</f>
        <v>-563921610.923479</v>
      </c>
      <c r="BF27" s="57" t="n">
        <f aca="false">Programas!BF$16</f>
        <v>-563921610.923479</v>
      </c>
      <c r="BG27" s="57" t="n">
        <f aca="false">Programas!BG$16</f>
        <v>-563921610.923479</v>
      </c>
      <c r="BH27" s="57" t="n">
        <f aca="false">Programas!BH$16</f>
        <v>-563921610.923479</v>
      </c>
      <c r="BI27" s="57" t="n">
        <f aca="false">Programas!BI$16</f>
        <v>-563921610.923479</v>
      </c>
      <c r="BJ27" s="57" t="n">
        <f aca="false">Programas!BJ$16</f>
        <v>-563921610.923479</v>
      </c>
      <c r="BK27" s="57" t="n">
        <f aca="false">Programas!BK$16</f>
        <v>-563921610.923479</v>
      </c>
      <c r="BL27" s="57" t="n">
        <f aca="false">Programas!BL$16</f>
        <v>-563921610.923479</v>
      </c>
      <c r="BM27" s="57" t="n">
        <f aca="false">Programas!BM$16</f>
        <v>-563921610.923479</v>
      </c>
      <c r="BN27" s="57" t="n">
        <f aca="false">Programas!BN$16</f>
        <v>-563921610.923479</v>
      </c>
      <c r="BO27" s="57" t="n">
        <f aca="false">Programas!BO$16</f>
        <v>-563921610.923479</v>
      </c>
      <c r="BP27" s="57" t="n">
        <f aca="false">Programas!BP$16</f>
        <v>-563921610.923479</v>
      </c>
      <c r="BQ27" s="57" t="n">
        <f aca="false">Programas!BQ$16</f>
        <v>-563921610.923479</v>
      </c>
      <c r="BR27" s="57" t="n">
        <f aca="false">Programas!BR$16</f>
        <v>-563921610.923479</v>
      </c>
      <c r="BS27" s="57" t="n">
        <f aca="false">Programas!BS$16</f>
        <v>-563921610.923479</v>
      </c>
      <c r="BT27" s="57" t="n">
        <f aca="false">Programas!BT$16</f>
        <v>-563921610.923479</v>
      </c>
      <c r="BU27" s="57" t="n">
        <f aca="false">Programas!BU$16</f>
        <v>-563921610.923479</v>
      </c>
      <c r="BV27" s="57" t="n">
        <f aca="false">Programas!BV$16</f>
        <v>-563921610.923479</v>
      </c>
      <c r="BW27" s="57" t="n">
        <f aca="false">Programas!BW$16</f>
        <v>-563921610.923479</v>
      </c>
      <c r="BX27" s="57" t="n">
        <f aca="false">Programas!BX$16</f>
        <v>-563921610.923479</v>
      </c>
      <c r="BY27" s="57" t="n">
        <f aca="false">Programas!BY$16</f>
        <v>-563921610.923479</v>
      </c>
      <c r="BZ27" s="57" t="n">
        <f aca="false">Programas!BZ$16</f>
        <v>-563921610.923479</v>
      </c>
      <c r="CA27" s="57" t="n">
        <f aca="false">Programas!CA$16</f>
        <v>-563921610.923479</v>
      </c>
      <c r="CB27" s="57" t="n">
        <f aca="false">Programas!CB$16</f>
        <v>-563921610.923479</v>
      </c>
      <c r="CC27" s="57" t="n">
        <f aca="false">Programas!CC$16</f>
        <v>-563921610.923479</v>
      </c>
      <c r="CD27" s="57" t="n">
        <f aca="false">Programas!CD$16</f>
        <v>-563921610.923479</v>
      </c>
      <c r="CE27" s="57" t="n">
        <f aca="false">Programas!CE$16</f>
        <v>-563921610.923479</v>
      </c>
      <c r="CF27" s="57" t="n">
        <f aca="false">Programas!CF$16</f>
        <v>-563921610.923479</v>
      </c>
      <c r="CG27" s="57" t="n">
        <f aca="false">Programas!CG$16</f>
        <v>-563921610.923479</v>
      </c>
      <c r="CH27" s="57" t="n">
        <f aca="false">Programas!CH$16</f>
        <v>-563921610.923479</v>
      </c>
      <c r="CI27" s="57" t="n">
        <f aca="false">Programas!CI$16</f>
        <v>-563921610.923479</v>
      </c>
      <c r="CJ27" s="57" t="n">
        <f aca="false">Programas!CJ$16</f>
        <v>-563921610.923479</v>
      </c>
      <c r="CK27" s="57" t="n">
        <f aca="false">Programas!CK$16</f>
        <v>-563921610.923479</v>
      </c>
      <c r="CL27" s="57" t="n">
        <f aca="false">Programas!CL$16</f>
        <v>-563921610.923479</v>
      </c>
      <c r="CM27" s="57" t="n">
        <f aca="false">Programas!CM$16</f>
        <v>-563921610.923479</v>
      </c>
      <c r="CN27" s="57" t="n">
        <f aca="false">Programas!CN$16</f>
        <v>-563921610.923479</v>
      </c>
      <c r="CO27" s="57" t="n">
        <f aca="false">Programas!CO$16</f>
        <v>-563921610.923479</v>
      </c>
      <c r="CP27" s="57" t="n">
        <f aca="false">Programas!CP$16</f>
        <v>-563921610.923479</v>
      </c>
      <c r="CQ27" s="57" t="n">
        <f aca="false">Programas!CQ$16</f>
        <v>-563921610.923479</v>
      </c>
      <c r="CR27" s="57" t="n">
        <f aca="false">Programas!CR$16</f>
        <v>-563921610.923479</v>
      </c>
      <c r="CS27" s="57" t="n">
        <f aca="false">Programas!CS$16</f>
        <v>-563921610.923479</v>
      </c>
      <c r="CT27" s="57" t="n">
        <f aca="false">Programas!CT$16</f>
        <v>-563921610.923479</v>
      </c>
    </row>
    <row r="28" customFormat="false" ht="15" hidden="false" customHeight="true" outlineLevel="0" collapsed="false">
      <c r="A28" s="2"/>
      <c r="B28" s="54" t="s">
        <v>649</v>
      </c>
      <c r="C28" s="60" t="n">
        <f aca="false">SUM(C8:C27)</f>
        <v>25339262415.3134</v>
      </c>
      <c r="D28" s="60" t="n">
        <f aca="false">SUM(D8:D27)</f>
        <v>29398498245.294</v>
      </c>
      <c r="E28" s="60" t="n">
        <f aca="false">SUM(E8:E27)</f>
        <v>26266969905.2551</v>
      </c>
      <c r="F28" s="60" t="n">
        <f aca="false">SUM(F8:F27)</f>
        <v>26266969905.2551</v>
      </c>
      <c r="G28" s="60" t="n">
        <f aca="false">SUM(G8:G27)</f>
        <v>30016969905.2551</v>
      </c>
      <c r="H28" s="60" t="n">
        <f aca="false">SUM(H8:H27)</f>
        <v>26266969905.2551</v>
      </c>
      <c r="I28" s="60" t="n">
        <f aca="false">SUM(I8:I27)</f>
        <v>26266969905.2551</v>
      </c>
      <c r="J28" s="60" t="n">
        <f aca="false">SUM(J8:J27)</f>
        <v>30016969905.2551</v>
      </c>
      <c r="K28" s="60" t="n">
        <f aca="false">SUM(K8:K27)</f>
        <v>26266969905.2551</v>
      </c>
      <c r="L28" s="60" t="n">
        <f aca="false">SUM(L8:L27)</f>
        <v>26266969905.2551</v>
      </c>
      <c r="M28" s="60" t="n">
        <f aca="false">SUM(M8:M27)</f>
        <v>30016969905.2551</v>
      </c>
      <c r="N28" s="60" t="n">
        <f aca="false">SUM(N8:N27)</f>
        <v>25339262415.3134</v>
      </c>
      <c r="O28" s="60" t="n">
        <f aca="false">SUM(O8:O27)</f>
        <v>25503934872.129</v>
      </c>
      <c r="P28" s="60" t="n">
        <f aca="false">SUM(P8:P27)</f>
        <v>29563170702.1096</v>
      </c>
      <c r="Q28" s="60" t="n">
        <f aca="false">SUM(Q8:Q27)</f>
        <v>26431642362.0707</v>
      </c>
      <c r="R28" s="60" t="n">
        <f aca="false">SUM(R8:R27)</f>
        <v>26431642362.0707</v>
      </c>
      <c r="S28" s="60" t="n">
        <f aca="false">SUM(S8:S27)</f>
        <v>30181642362.0707</v>
      </c>
      <c r="T28" s="60" t="n">
        <f aca="false">SUM(T8:T27)</f>
        <v>26431642362.0707</v>
      </c>
      <c r="U28" s="60" t="n">
        <f aca="false">SUM(U8:U27)</f>
        <v>26431642362.0707</v>
      </c>
      <c r="V28" s="60" t="n">
        <f aca="false">SUM(V8:V27)</f>
        <v>30181642362.0707</v>
      </c>
      <c r="W28" s="60" t="n">
        <f aca="false">SUM(W8:W27)</f>
        <v>26431642362.0707</v>
      </c>
      <c r="X28" s="60" t="n">
        <f aca="false">SUM(X8:X27)</f>
        <v>26431642362.0707</v>
      </c>
      <c r="Y28" s="60" t="n">
        <f aca="false">SUM(Y8:Y27)</f>
        <v>26431642362.0707</v>
      </c>
      <c r="Z28" s="60" t="n">
        <f aca="false">SUM(Z8:Z27)</f>
        <v>25503934872.129</v>
      </c>
      <c r="AA28" s="60" t="n">
        <f aca="false">SUM(AA8:AA27)</f>
        <v>25499676857.1479</v>
      </c>
      <c r="AB28" s="60" t="n">
        <f aca="false">SUM(AB8:AB27)</f>
        <v>25808912687.1285</v>
      </c>
      <c r="AC28" s="60" t="n">
        <f aca="false">SUM(AC8:AC27)</f>
        <v>26427384347.0896</v>
      </c>
      <c r="AD28" s="60" t="n">
        <f aca="false">SUM(AD8:AD27)</f>
        <v>26427384347.0896</v>
      </c>
      <c r="AE28" s="60" t="n">
        <f aca="false">SUM(AE8:AE27)</f>
        <v>26427384347.0896</v>
      </c>
      <c r="AF28" s="60" t="n">
        <f aca="false">SUM(AF8:AF27)</f>
        <v>26427384347.0896</v>
      </c>
      <c r="AG28" s="60" t="n">
        <f aca="false">SUM(AG8:AG27)</f>
        <v>26427384347.0896</v>
      </c>
      <c r="AH28" s="60" t="n">
        <f aca="false">SUM(AH8:AH27)</f>
        <v>26427384347.0896</v>
      </c>
      <c r="AI28" s="60" t="n">
        <f aca="false">SUM(AI8:AI27)</f>
        <v>26427384347.0896</v>
      </c>
      <c r="AJ28" s="60" t="n">
        <f aca="false">SUM(AJ8:AJ27)</f>
        <v>26427384347.0896</v>
      </c>
      <c r="AK28" s="60" t="n">
        <f aca="false">SUM(AK8:AK27)</f>
        <v>26427384347.0896</v>
      </c>
      <c r="AL28" s="60" t="n">
        <f aca="false">SUM(AL8:AL27)</f>
        <v>25499676857.1479</v>
      </c>
      <c r="AM28" s="60" t="n">
        <f aca="false">SUM(AM8:AM27)</f>
        <v>25546704434.5079</v>
      </c>
      <c r="AN28" s="60" t="n">
        <f aca="false">SUM(AN8:AN27)</f>
        <v>25855940264.4884</v>
      </c>
      <c r="AO28" s="60" t="n">
        <f aca="false">SUM(AO8:AO27)</f>
        <v>26474411924.4495</v>
      </c>
      <c r="AP28" s="60" t="n">
        <f aca="false">SUM(AP8:AP27)</f>
        <v>26474411924.4495</v>
      </c>
      <c r="AQ28" s="60" t="n">
        <f aca="false">SUM(AQ8:AQ27)</f>
        <v>26474411924.4495</v>
      </c>
      <c r="AR28" s="60" t="n">
        <f aca="false">SUM(AR8:AR27)</f>
        <v>26474411924.4495</v>
      </c>
      <c r="AS28" s="60" t="n">
        <f aca="false">SUM(AS8:AS27)</f>
        <v>26474411924.4495</v>
      </c>
      <c r="AT28" s="60" t="n">
        <f aca="false">SUM(AT8:AT27)</f>
        <v>26474411924.4495</v>
      </c>
      <c r="AU28" s="60" t="n">
        <f aca="false">SUM(AU8:AU27)</f>
        <v>26474411924.4495</v>
      </c>
      <c r="AV28" s="60" t="n">
        <f aca="false">SUM(AV8:AV27)</f>
        <v>26474411924.4495</v>
      </c>
      <c r="AW28" s="60" t="n">
        <f aca="false">SUM(AW8:AW27)</f>
        <v>26474411924.4495</v>
      </c>
      <c r="AX28" s="60" t="n">
        <f aca="false">SUM(AX8:AX27)</f>
        <v>25546704434.5079</v>
      </c>
      <c r="AY28" s="60" t="n">
        <f aca="false">SUM(AY8:AY27)</f>
        <v>25546704434.5079</v>
      </c>
      <c r="AZ28" s="60" t="n">
        <f aca="false">SUM(AZ8:AZ27)</f>
        <v>25855940264.4884</v>
      </c>
      <c r="BA28" s="60" t="n">
        <f aca="false">SUM(BA8:BA27)</f>
        <v>26474411924.4495</v>
      </c>
      <c r="BB28" s="60" t="n">
        <f aca="false">SUM(BB8:BB27)</f>
        <v>26474411924.4495</v>
      </c>
      <c r="BC28" s="60" t="n">
        <f aca="false">SUM(BC8:BC27)</f>
        <v>26474411924.4495</v>
      </c>
      <c r="BD28" s="60" t="n">
        <f aca="false">SUM(BD8:BD27)</f>
        <v>26474411924.4495</v>
      </c>
      <c r="BE28" s="60" t="n">
        <f aca="false">SUM(BE8:BE27)</f>
        <v>26474411924.4495</v>
      </c>
      <c r="BF28" s="60" t="n">
        <f aca="false">SUM(BF8:BF27)</f>
        <v>26474411924.4495</v>
      </c>
      <c r="BG28" s="60" t="n">
        <f aca="false">SUM(BG8:BG27)</f>
        <v>26474411924.4495</v>
      </c>
      <c r="BH28" s="60" t="n">
        <f aca="false">SUM(BH8:BH27)</f>
        <v>26474411924.4495</v>
      </c>
      <c r="BI28" s="60" t="n">
        <f aca="false">SUM(BI8:BI27)</f>
        <v>26474411924.4495</v>
      </c>
      <c r="BJ28" s="60" t="n">
        <f aca="false">SUM(BJ8:BJ27)</f>
        <v>25546704434.5079</v>
      </c>
      <c r="BK28" s="60" t="n">
        <f aca="false">SUM(BK8:BK27)</f>
        <v>25546704434.5079</v>
      </c>
      <c r="BL28" s="60" t="n">
        <f aca="false">SUM(BL8:BL27)</f>
        <v>25855940264.4884</v>
      </c>
      <c r="BM28" s="60" t="n">
        <f aca="false">SUM(BM8:BM27)</f>
        <v>26474411924.4495</v>
      </c>
      <c r="BN28" s="60" t="n">
        <f aca="false">SUM(BN8:BN27)</f>
        <v>26474411924.4495</v>
      </c>
      <c r="BO28" s="60" t="n">
        <f aca="false">SUM(BO8:BO27)</f>
        <v>26474411924.4495</v>
      </c>
      <c r="BP28" s="60" t="n">
        <f aca="false">SUM(BP8:BP27)</f>
        <v>26474411924.4495</v>
      </c>
      <c r="BQ28" s="60" t="n">
        <f aca="false">SUM(BQ8:BQ27)</f>
        <v>26474411924.4495</v>
      </c>
      <c r="BR28" s="60" t="n">
        <f aca="false">SUM(BR8:BR27)</f>
        <v>26474411924.4495</v>
      </c>
      <c r="BS28" s="60" t="n">
        <f aca="false">SUM(BS8:BS27)</f>
        <v>26474411924.4495</v>
      </c>
      <c r="BT28" s="60" t="n">
        <f aca="false">SUM(BT8:BT27)</f>
        <v>26474411924.4495</v>
      </c>
      <c r="BU28" s="60" t="n">
        <f aca="false">SUM(BU8:BU27)</f>
        <v>26474411924.4495</v>
      </c>
      <c r="BV28" s="60" t="n">
        <f aca="false">SUM(BV8:BV27)</f>
        <v>25546704434.5079</v>
      </c>
      <c r="BW28" s="60" t="n">
        <f aca="false">SUM(BW8:BW27)</f>
        <v>25546704434.5079</v>
      </c>
      <c r="BX28" s="60" t="n">
        <f aca="false">SUM(BX8:BX27)</f>
        <v>25855940264.4884</v>
      </c>
      <c r="BY28" s="60" t="n">
        <f aca="false">SUM(BY8:BY27)</f>
        <v>26474411924.4495</v>
      </c>
      <c r="BZ28" s="60" t="n">
        <f aca="false">SUM(BZ8:BZ27)</f>
        <v>26474411924.4495</v>
      </c>
      <c r="CA28" s="60" t="n">
        <f aca="false">SUM(CA8:CA27)</f>
        <v>26474411924.4495</v>
      </c>
      <c r="CB28" s="60" t="n">
        <f aca="false">SUM(CB8:CB27)</f>
        <v>26474411924.4495</v>
      </c>
      <c r="CC28" s="60" t="n">
        <f aca="false">SUM(CC8:CC27)</f>
        <v>26474411924.4495</v>
      </c>
      <c r="CD28" s="60" t="n">
        <f aca="false">SUM(CD8:CD27)</f>
        <v>26474411924.4495</v>
      </c>
      <c r="CE28" s="60" t="n">
        <f aca="false">SUM(CE8:CE27)</f>
        <v>26474411924.4495</v>
      </c>
      <c r="CF28" s="60" t="n">
        <f aca="false">SUM(CF8:CF27)</f>
        <v>26474411924.4495</v>
      </c>
      <c r="CG28" s="60" t="n">
        <f aca="false">SUM(CG8:CG27)</f>
        <v>26474411924.4495</v>
      </c>
      <c r="CH28" s="60" t="n">
        <f aca="false">SUM(CH8:CH27)</f>
        <v>25546704434.5079</v>
      </c>
      <c r="CI28" s="60" t="n">
        <f aca="false">SUM(CI8:CI27)</f>
        <v>25546704434.5079</v>
      </c>
      <c r="CJ28" s="60" t="n">
        <f aca="false">SUM(CJ8:CJ27)</f>
        <v>25855940264.4884</v>
      </c>
      <c r="CK28" s="60" t="n">
        <f aca="false">SUM(CK8:CK27)</f>
        <v>26474411924.4495</v>
      </c>
      <c r="CL28" s="60" t="n">
        <f aca="false">SUM(CL8:CL27)</f>
        <v>26474411924.4495</v>
      </c>
      <c r="CM28" s="60" t="n">
        <f aca="false">SUM(CM8:CM27)</f>
        <v>26474411924.4495</v>
      </c>
      <c r="CN28" s="60" t="n">
        <f aca="false">SUM(CN8:CN27)</f>
        <v>26474411924.4495</v>
      </c>
      <c r="CO28" s="60" t="n">
        <f aca="false">SUM(CO8:CO27)</f>
        <v>26474411924.4495</v>
      </c>
      <c r="CP28" s="60" t="n">
        <f aca="false">SUM(CP8:CP27)</f>
        <v>26474411924.4495</v>
      </c>
      <c r="CQ28" s="60" t="n">
        <f aca="false">SUM(CQ8:CQ27)</f>
        <v>26474411924.4495</v>
      </c>
      <c r="CR28" s="60" t="n">
        <f aca="false">SUM(CR8:CR27)</f>
        <v>26474411924.4495</v>
      </c>
      <c r="CS28" s="60" t="n">
        <f aca="false">SUM(CS8:CS27)</f>
        <v>26474411924.4495</v>
      </c>
      <c r="CT28" s="60" t="n">
        <f aca="false">SUM(CT8:CT27)</f>
        <v>25546704434.5079</v>
      </c>
    </row>
    <row r="29" customFormat="false" ht="15" hidden="false" customHeight="true" outlineLevel="0" collapsed="false">
      <c r="A29" s="2"/>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row>
    <row r="30" customFormat="false" ht="15" hidden="false" customHeight="false" outlineLevel="0" collapsed="false">
      <c r="A30" s="2"/>
      <c r="B30" s="61" t="s">
        <v>650</v>
      </c>
      <c r="C30" s="67" t="n">
        <f aca="false">IFERROR(C14/C28,0)</f>
        <v>0.25185510606649</v>
      </c>
      <c r="D30" s="67" t="n">
        <f aca="false">IFERROR(D14/D28,0)</f>
        <v>0.21974046560905</v>
      </c>
      <c r="E30" s="67" t="n">
        <f aca="false">IFERROR(E14/E28,0)</f>
        <v>0.251893303842735</v>
      </c>
      <c r="F30" s="67" t="n">
        <f aca="false">IFERROR(F14/F28,0)</f>
        <v>0.251893303842735</v>
      </c>
      <c r="G30" s="67" t="n">
        <f aca="false">IFERROR(G14/G28,0)</f>
        <v>0.22042444164939</v>
      </c>
      <c r="H30" s="67" t="n">
        <f aca="false">IFERROR(H14/H28,0)</f>
        <v>0.251893303842735</v>
      </c>
      <c r="I30" s="67" t="n">
        <f aca="false">IFERROR(I14/I28,0)</f>
        <v>0.251893303842735</v>
      </c>
      <c r="J30" s="67" t="n">
        <f aca="false">IFERROR(J14/J28,0)</f>
        <v>0.22042444164939</v>
      </c>
      <c r="K30" s="67" t="n">
        <f aca="false">IFERROR(K14/K28,0)</f>
        <v>0.251893303842735</v>
      </c>
      <c r="L30" s="67" t="n">
        <f aca="false">IFERROR(L14/L28,0)</f>
        <v>0.251893303842735</v>
      </c>
      <c r="M30" s="67" t="n">
        <f aca="false">IFERROR(M14/M28,0)</f>
        <v>0.22042444164939</v>
      </c>
      <c r="N30" s="67" t="n">
        <f aca="false">IFERROR(N14/N28,0)</f>
        <v>0.25185510606649</v>
      </c>
      <c r="O30" s="67" t="n">
        <f aca="false">IFERROR(O14/O28,0)</f>
        <v>0.251645427489186</v>
      </c>
      <c r="P30" s="67" t="n">
        <f aca="false">IFERROR(P14/P28,0)</f>
        <v>0.219738462033846</v>
      </c>
      <c r="Q30" s="67" t="n">
        <f aca="false">IFERROR(Q14/Q28,0)</f>
        <v>0.251690746664185</v>
      </c>
      <c r="R30" s="67" t="n">
        <f aca="false">IFERROR(R14/R28,0)</f>
        <v>0.251690746664185</v>
      </c>
      <c r="S30" s="67" t="n">
        <f aca="false">IFERROR(S14/S28,0)</f>
        <v>0.220418747325381</v>
      </c>
      <c r="T30" s="67" t="n">
        <f aca="false">IFERROR(T14/T28,0)</f>
        <v>0.251690746664185</v>
      </c>
      <c r="U30" s="67" t="n">
        <f aca="false">IFERROR(U14/U28,0)</f>
        <v>0.251690746664185</v>
      </c>
      <c r="V30" s="67" t="n">
        <f aca="false">IFERROR(V14/V28,0)</f>
        <v>0.220418747325381</v>
      </c>
      <c r="W30" s="67" t="n">
        <f aca="false">IFERROR(W14/W28,0)</f>
        <v>0.251690746664185</v>
      </c>
      <c r="X30" s="67" t="n">
        <f aca="false">IFERROR(X14/X28,0)</f>
        <v>0.251690746664185</v>
      </c>
      <c r="Y30" s="67" t="n">
        <f aca="false">IFERROR(Y14/Y28,0)</f>
        <v>0.251690746664185</v>
      </c>
      <c r="Z30" s="67" t="n">
        <f aca="false">IFERROR(Z14/Z28,0)</f>
        <v>0.251645427489186</v>
      </c>
      <c r="AA30" s="67" t="n">
        <f aca="false">IFERROR(AA14/AA28,0)</f>
        <v>0.248457368877707</v>
      </c>
      <c r="AB30" s="67" t="n">
        <f aca="false">IFERROR(AB14/AB28,0)</f>
        <v>0.248511038271278</v>
      </c>
      <c r="AC30" s="67" t="n">
        <f aca="false">IFERROR(AC14/AC28,0)</f>
        <v>0.248614609035241</v>
      </c>
      <c r="AD30" s="67" t="n">
        <f aca="false">IFERROR(AD14/AD28,0)</f>
        <v>0.248614609035241</v>
      </c>
      <c r="AE30" s="67" t="n">
        <f aca="false">IFERROR(AE14/AE28,0)</f>
        <v>0.248614609035241</v>
      </c>
      <c r="AF30" s="67" t="n">
        <f aca="false">IFERROR(AF14/AF28,0)</f>
        <v>0.248614609035241</v>
      </c>
      <c r="AG30" s="67" t="n">
        <f aca="false">IFERROR(AG14/AG28,0)</f>
        <v>0.248614609035241</v>
      </c>
      <c r="AH30" s="67" t="n">
        <f aca="false">IFERROR(AH14/AH28,0)</f>
        <v>0.248614609035241</v>
      </c>
      <c r="AI30" s="67" t="n">
        <f aca="false">IFERROR(AI14/AI28,0)</f>
        <v>0.248614609035241</v>
      </c>
      <c r="AJ30" s="67" t="n">
        <f aca="false">IFERROR(AJ14/AJ28,0)</f>
        <v>0.248614609035241</v>
      </c>
      <c r="AK30" s="67" t="n">
        <f aca="false">IFERROR(AK14/AK28,0)</f>
        <v>0.248614609035241</v>
      </c>
      <c r="AL30" s="67" t="n">
        <f aca="false">IFERROR(AL14/AL28,0)</f>
        <v>0.248457368877707</v>
      </c>
      <c r="AM30" s="67" t="n">
        <f aca="false">IFERROR(AM14/AM28,0)</f>
        <v>0.247999996845025</v>
      </c>
      <c r="AN30" s="67" t="n">
        <f aca="false">IFERROR(AN14/AN28,0)</f>
        <v>0.248059038771064</v>
      </c>
      <c r="AO30" s="67" t="n">
        <f aca="false">IFERROR(AO14/AO28,0)</f>
        <v>0.248172984768285</v>
      </c>
      <c r="AP30" s="67" t="n">
        <f aca="false">IFERROR(AP14/AP28,0)</f>
        <v>0.248172984768285</v>
      </c>
      <c r="AQ30" s="67" t="n">
        <f aca="false">IFERROR(AQ14/AQ28,0)</f>
        <v>0.248172984768285</v>
      </c>
      <c r="AR30" s="67" t="n">
        <f aca="false">IFERROR(AR14/AR28,0)</f>
        <v>0.248172984768285</v>
      </c>
      <c r="AS30" s="67" t="n">
        <f aca="false">IFERROR(AS14/AS28,0)</f>
        <v>0.248172984768285</v>
      </c>
      <c r="AT30" s="67" t="n">
        <f aca="false">IFERROR(AT14/AT28,0)</f>
        <v>0.248172984768285</v>
      </c>
      <c r="AU30" s="67" t="n">
        <f aca="false">IFERROR(AU14/AU28,0)</f>
        <v>0.248172984768285</v>
      </c>
      <c r="AV30" s="67" t="n">
        <f aca="false">IFERROR(AV14/AV28,0)</f>
        <v>0.248172984768285</v>
      </c>
      <c r="AW30" s="67" t="n">
        <f aca="false">IFERROR(AW14/AW28,0)</f>
        <v>0.248172984768285</v>
      </c>
      <c r="AX30" s="67" t="n">
        <f aca="false">IFERROR(AX14/AX28,0)</f>
        <v>0.247999996845025</v>
      </c>
      <c r="AY30" s="67" t="n">
        <f aca="false">IFERROR(AY14/AY28,0)</f>
        <v>0.247999996845025</v>
      </c>
      <c r="AZ30" s="67" t="n">
        <f aca="false">IFERROR(AZ14/AZ28,0)</f>
        <v>0.248059038771064</v>
      </c>
      <c r="BA30" s="67" t="n">
        <f aca="false">IFERROR(BA14/BA28,0)</f>
        <v>0.248172984768285</v>
      </c>
      <c r="BB30" s="67" t="n">
        <f aca="false">IFERROR(BB14/BB28,0)</f>
        <v>0.248172984768285</v>
      </c>
      <c r="BC30" s="67" t="n">
        <f aca="false">IFERROR(BC14/BC28,0)</f>
        <v>0.248172984768285</v>
      </c>
      <c r="BD30" s="67" t="n">
        <f aca="false">IFERROR(BD14/BD28,0)</f>
        <v>0.248172984768285</v>
      </c>
      <c r="BE30" s="67" t="n">
        <f aca="false">IFERROR(BE14/BE28,0)</f>
        <v>0.248172984768285</v>
      </c>
      <c r="BF30" s="67" t="n">
        <f aca="false">IFERROR(BF14/BF28,0)</f>
        <v>0.248172984768285</v>
      </c>
      <c r="BG30" s="67" t="n">
        <f aca="false">IFERROR(BG14/BG28,0)</f>
        <v>0.248172984768285</v>
      </c>
      <c r="BH30" s="67" t="n">
        <f aca="false">IFERROR(BH14/BH28,0)</f>
        <v>0.248172984768285</v>
      </c>
      <c r="BI30" s="67" t="n">
        <f aca="false">IFERROR(BI14/BI28,0)</f>
        <v>0.248172984768285</v>
      </c>
      <c r="BJ30" s="67" t="n">
        <f aca="false">IFERROR(BJ14/BJ28,0)</f>
        <v>0.247999996845025</v>
      </c>
      <c r="BK30" s="67" t="n">
        <f aca="false">IFERROR(BK14/BK28,0)</f>
        <v>0.247999996845025</v>
      </c>
      <c r="BL30" s="67" t="n">
        <f aca="false">IFERROR(BL14/BL28,0)</f>
        <v>0.248059038771064</v>
      </c>
      <c r="BM30" s="67" t="n">
        <f aca="false">IFERROR(BM14/BM28,0)</f>
        <v>0.248172984768285</v>
      </c>
      <c r="BN30" s="67" t="n">
        <f aca="false">IFERROR(BN14/BN28,0)</f>
        <v>0.248172984768285</v>
      </c>
      <c r="BO30" s="67" t="n">
        <f aca="false">IFERROR(BO14/BO28,0)</f>
        <v>0.248172984768285</v>
      </c>
      <c r="BP30" s="67" t="n">
        <f aca="false">IFERROR(BP14/BP28,0)</f>
        <v>0.248172984768285</v>
      </c>
      <c r="BQ30" s="67" t="n">
        <f aca="false">IFERROR(BQ14/BQ28,0)</f>
        <v>0.248172984768285</v>
      </c>
      <c r="BR30" s="67" t="n">
        <f aca="false">IFERROR(BR14/BR28,0)</f>
        <v>0.248172984768285</v>
      </c>
      <c r="BS30" s="67" t="n">
        <f aca="false">IFERROR(BS14/BS28,0)</f>
        <v>0.248172984768285</v>
      </c>
      <c r="BT30" s="67" t="n">
        <f aca="false">IFERROR(BT14/BT28,0)</f>
        <v>0.248172984768285</v>
      </c>
      <c r="BU30" s="67" t="n">
        <f aca="false">IFERROR(BU14/BU28,0)</f>
        <v>0.248172984768285</v>
      </c>
      <c r="BV30" s="67" t="n">
        <f aca="false">IFERROR(BV14/BV28,0)</f>
        <v>0.247999996845025</v>
      </c>
      <c r="BW30" s="67" t="n">
        <f aca="false">IFERROR(BW14/BW28,0)</f>
        <v>0.247999996845025</v>
      </c>
      <c r="BX30" s="67" t="n">
        <f aca="false">IFERROR(BX14/BX28,0)</f>
        <v>0.248059038771064</v>
      </c>
      <c r="BY30" s="67" t="n">
        <f aca="false">IFERROR(BY14/BY28,0)</f>
        <v>0.248172984768285</v>
      </c>
      <c r="BZ30" s="67" t="n">
        <f aca="false">IFERROR(BZ14/BZ28,0)</f>
        <v>0.248172984768285</v>
      </c>
      <c r="CA30" s="67" t="n">
        <f aca="false">IFERROR(CA14/CA28,0)</f>
        <v>0.248172984768285</v>
      </c>
      <c r="CB30" s="67" t="n">
        <f aca="false">IFERROR(CB14/CB28,0)</f>
        <v>0.248172984768285</v>
      </c>
      <c r="CC30" s="67" t="n">
        <f aca="false">IFERROR(CC14/CC28,0)</f>
        <v>0.248172984768285</v>
      </c>
      <c r="CD30" s="67" t="n">
        <f aca="false">IFERROR(CD14/CD28,0)</f>
        <v>0.248172984768285</v>
      </c>
      <c r="CE30" s="67" t="n">
        <f aca="false">IFERROR(CE14/CE28,0)</f>
        <v>0.248172984768285</v>
      </c>
      <c r="CF30" s="67" t="n">
        <f aca="false">IFERROR(CF14/CF28,0)</f>
        <v>0.248172984768285</v>
      </c>
      <c r="CG30" s="67" t="n">
        <f aca="false">IFERROR(CG14/CG28,0)</f>
        <v>0.248172984768285</v>
      </c>
      <c r="CH30" s="67" t="n">
        <f aca="false">IFERROR(CH14/CH28,0)</f>
        <v>0.247999996845025</v>
      </c>
      <c r="CI30" s="67" t="n">
        <f aca="false">IFERROR(CI14/CI28,0)</f>
        <v>0.247999996845025</v>
      </c>
      <c r="CJ30" s="67" t="n">
        <f aca="false">IFERROR(CJ14/CJ28,0)</f>
        <v>0.248059038771064</v>
      </c>
      <c r="CK30" s="67" t="n">
        <f aca="false">IFERROR(CK14/CK28,0)</f>
        <v>0.248172984768285</v>
      </c>
      <c r="CL30" s="67" t="n">
        <f aca="false">IFERROR(CL14/CL28,0)</f>
        <v>0.248172984768285</v>
      </c>
      <c r="CM30" s="67" t="n">
        <f aca="false">IFERROR(CM14/CM28,0)</f>
        <v>0.248172984768285</v>
      </c>
      <c r="CN30" s="67" t="n">
        <f aca="false">IFERROR(CN14/CN28,0)</f>
        <v>0.248172984768285</v>
      </c>
      <c r="CO30" s="67" t="n">
        <f aca="false">IFERROR(CO14/CO28,0)</f>
        <v>0.248172984768285</v>
      </c>
      <c r="CP30" s="67" t="n">
        <f aca="false">IFERROR(CP14/CP28,0)</f>
        <v>0.248172984768285</v>
      </c>
      <c r="CQ30" s="67" t="n">
        <f aca="false">IFERROR(CQ14/CQ28,0)</f>
        <v>0.248172984768285</v>
      </c>
      <c r="CR30" s="67" t="n">
        <f aca="false">IFERROR(CR14/CR28,0)</f>
        <v>0.248172984768285</v>
      </c>
      <c r="CS30" s="67" t="n">
        <f aca="false">IFERROR(CS14/CS28,0)</f>
        <v>0.248172984768285</v>
      </c>
      <c r="CT30" s="67" t="n">
        <f aca="false">IFERROR(CT14/CT28,0)</f>
        <v>0.247999996845025</v>
      </c>
    </row>
    <row r="31" customFormat="false" ht="15" hidden="false" customHeight="true" outlineLevel="0" collapsed="false">
      <c r="A31" s="2"/>
      <c r="B31" s="61" t="s">
        <v>651</v>
      </c>
      <c r="C31" s="67" t="n">
        <f aca="false">IFERROR(C20/(C21*0.1467),0)</f>
        <v>0.321893365175163</v>
      </c>
      <c r="D31" s="67" t="n">
        <f aca="false">IFERROR(D20/(D21*0.1467),0)</f>
        <v>0.321893365175163</v>
      </c>
      <c r="E31" s="67" t="n">
        <f aca="false">IFERROR(E20/(E21*0.1467),0)</f>
        <v>0.321893365175163</v>
      </c>
      <c r="F31" s="67" t="n">
        <f aca="false">IFERROR(F20/(F21*0.1467),0)</f>
        <v>0.321893365175163</v>
      </c>
      <c r="G31" s="67" t="n">
        <f aca="false">IFERROR(G20/(G21*0.1467),0)</f>
        <v>0.321893365175163</v>
      </c>
      <c r="H31" s="67" t="n">
        <f aca="false">IFERROR(H20/(H21*0.1467),0)</f>
        <v>0.321893365175163</v>
      </c>
      <c r="I31" s="67" t="n">
        <f aca="false">IFERROR(I20/(I21*0.1467),0)</f>
        <v>0.321893365175163</v>
      </c>
      <c r="J31" s="67" t="n">
        <f aca="false">IFERROR(J20/(J21*0.1467),0)</f>
        <v>0.321893365175163</v>
      </c>
      <c r="K31" s="67" t="n">
        <f aca="false">IFERROR(K20/(K21*0.1467),0)</f>
        <v>0.321893365175163</v>
      </c>
      <c r="L31" s="67" t="n">
        <f aca="false">IFERROR(L20/(L21*0.1467),0)</f>
        <v>0.321893365175163</v>
      </c>
      <c r="M31" s="67" t="n">
        <f aca="false">IFERROR(M20/(M21*0.1467),0)</f>
        <v>0.321893365175163</v>
      </c>
      <c r="N31" s="67" t="n">
        <f aca="false">IFERROR(N20/(N21*0.1467),0)</f>
        <v>0.321893365175163</v>
      </c>
      <c r="O31" s="67" t="n">
        <f aca="false">IFERROR(O20/(O21*0.1467),0)</f>
        <v>0.321893365175163</v>
      </c>
      <c r="P31" s="67" t="n">
        <f aca="false">IFERROR(P20/(P21*0.1467),0)</f>
        <v>0.321893365175163</v>
      </c>
      <c r="Q31" s="67" t="n">
        <f aca="false">IFERROR(Q20/(Q21*0.1467),0)</f>
        <v>0.321893365175163</v>
      </c>
      <c r="R31" s="67" t="n">
        <f aca="false">IFERROR(R20/(R21*0.1467),0)</f>
        <v>0.321893365175163</v>
      </c>
      <c r="S31" s="67" t="n">
        <f aca="false">IFERROR(S20/(S21*0.1467),0)</f>
        <v>0.321893365175163</v>
      </c>
      <c r="T31" s="67" t="n">
        <f aca="false">IFERROR(T20/(T21*0.1467),0)</f>
        <v>0.321893365175163</v>
      </c>
      <c r="U31" s="67" t="n">
        <f aca="false">IFERROR(U20/(U21*0.1467),0)</f>
        <v>0.321893365175163</v>
      </c>
      <c r="V31" s="67" t="n">
        <f aca="false">IFERROR(V20/(V21*0.1467),0)</f>
        <v>0.321893365175163</v>
      </c>
      <c r="W31" s="67" t="n">
        <f aca="false">IFERROR(W20/(W21*0.1467),0)</f>
        <v>0.321893365175163</v>
      </c>
      <c r="X31" s="67" t="n">
        <f aca="false">IFERROR(X20/(X21*0.1467),0)</f>
        <v>0.321893365175163</v>
      </c>
      <c r="Y31" s="67" t="n">
        <f aca="false">IFERROR(Y20/(Y21*0.1467),0)</f>
        <v>0.321893365175163</v>
      </c>
      <c r="Z31" s="67" t="n">
        <f aca="false">IFERROR(Z20/(Z21*0.1467),0)</f>
        <v>0.321893365175163</v>
      </c>
      <c r="AA31" s="67" t="n">
        <f aca="false">IFERROR(AA20/(AA21*0.1467),0)</f>
        <v>0.321893365175163</v>
      </c>
      <c r="AB31" s="67" t="n">
        <f aca="false">IFERROR(AB20/(AB21*0.1467),0)</f>
        <v>0.321893365175163</v>
      </c>
      <c r="AC31" s="67" t="n">
        <f aca="false">IFERROR(AC20/(AC21*0.1467),0)</f>
        <v>0.321893365175163</v>
      </c>
      <c r="AD31" s="67" t="n">
        <f aca="false">IFERROR(AD20/(AD21*0.1467),0)</f>
        <v>0.321893365175163</v>
      </c>
      <c r="AE31" s="67" t="n">
        <f aca="false">IFERROR(AE20/(AE21*0.1467),0)</f>
        <v>0.321893365175163</v>
      </c>
      <c r="AF31" s="67" t="n">
        <f aca="false">IFERROR(AF20/(AF21*0.1467),0)</f>
        <v>0.321893365175163</v>
      </c>
      <c r="AG31" s="67" t="n">
        <f aca="false">IFERROR(AG20/(AG21*0.1467),0)</f>
        <v>0.321893365175163</v>
      </c>
      <c r="AH31" s="67" t="n">
        <f aca="false">IFERROR(AH20/(AH21*0.1467),0)</f>
        <v>0.321893365175163</v>
      </c>
      <c r="AI31" s="67" t="n">
        <f aca="false">IFERROR(AI20/(AI21*0.1467),0)</f>
        <v>0.321893365175163</v>
      </c>
      <c r="AJ31" s="67" t="n">
        <f aca="false">IFERROR(AJ20/(AJ21*0.1467),0)</f>
        <v>0.321893365175163</v>
      </c>
      <c r="AK31" s="67" t="n">
        <f aca="false">IFERROR(AK20/(AK21*0.1467),0)</f>
        <v>0.321893365175163</v>
      </c>
      <c r="AL31" s="67" t="n">
        <f aca="false">IFERROR(AL20/(AL21*0.1467),0)</f>
        <v>0.321893365175163</v>
      </c>
      <c r="AM31" s="67" t="n">
        <f aca="false">IFERROR(AM20/(AM21*0.1467),0)</f>
        <v>0.321893365175163</v>
      </c>
      <c r="AN31" s="67" t="n">
        <f aca="false">IFERROR(AN20/(AN21*0.1467),0)</f>
        <v>0.321893365175163</v>
      </c>
      <c r="AO31" s="67" t="n">
        <f aca="false">IFERROR(AO20/(AO21*0.1467),0)</f>
        <v>0.321893365175163</v>
      </c>
      <c r="AP31" s="67" t="n">
        <f aca="false">IFERROR(AP20/(AP21*0.1467),0)</f>
        <v>0.321893365175163</v>
      </c>
      <c r="AQ31" s="67" t="n">
        <f aca="false">IFERROR(AQ20/(AQ21*0.1467),0)</f>
        <v>0.321893365175163</v>
      </c>
      <c r="AR31" s="67" t="n">
        <f aca="false">IFERROR(AR20/(AR21*0.1467),0)</f>
        <v>0.321893365175163</v>
      </c>
      <c r="AS31" s="67" t="n">
        <f aca="false">IFERROR(AS20/(AS21*0.1467),0)</f>
        <v>0.321893365175163</v>
      </c>
      <c r="AT31" s="67" t="n">
        <f aca="false">IFERROR(AT20/(AT21*0.1467),0)</f>
        <v>0.321893365175163</v>
      </c>
      <c r="AU31" s="67" t="n">
        <f aca="false">IFERROR(AU20/(AU21*0.1467),0)</f>
        <v>0.321893365175163</v>
      </c>
      <c r="AV31" s="67" t="n">
        <f aca="false">IFERROR(AV20/(AV21*0.1467),0)</f>
        <v>0.321893365175163</v>
      </c>
      <c r="AW31" s="67" t="n">
        <f aca="false">IFERROR(AW20/(AW21*0.1467),0)</f>
        <v>0.321893365175163</v>
      </c>
      <c r="AX31" s="67" t="n">
        <f aca="false">IFERROR(AX20/(AX21*0.1467),0)</f>
        <v>0.321893365175163</v>
      </c>
      <c r="AY31" s="67" t="n">
        <f aca="false">IFERROR(AY20/(AY21*0.1467),0)</f>
        <v>0.321893365175163</v>
      </c>
      <c r="AZ31" s="67" t="n">
        <f aca="false">IFERROR(AZ20/(AZ21*0.1467),0)</f>
        <v>0.321893365175163</v>
      </c>
      <c r="BA31" s="67" t="n">
        <f aca="false">IFERROR(BA20/(BA21*0.1467),0)</f>
        <v>0.321893365175163</v>
      </c>
      <c r="BB31" s="67" t="n">
        <f aca="false">IFERROR(BB20/(BB21*0.1467),0)</f>
        <v>0.321893365175163</v>
      </c>
      <c r="BC31" s="67" t="n">
        <f aca="false">IFERROR(BC20/(BC21*0.1467),0)</f>
        <v>0.321893365175163</v>
      </c>
      <c r="BD31" s="67" t="n">
        <f aca="false">IFERROR(BD20/(BD21*0.1467),0)</f>
        <v>0.321893365175163</v>
      </c>
      <c r="BE31" s="67" t="n">
        <f aca="false">IFERROR(BE20/(BE21*0.1467),0)</f>
        <v>0.321893365175163</v>
      </c>
      <c r="BF31" s="67" t="n">
        <f aca="false">IFERROR(BF20/(BF21*0.1467),0)</f>
        <v>0.321893365175163</v>
      </c>
      <c r="BG31" s="67" t="n">
        <f aca="false">IFERROR(BG20/(BG21*0.1467),0)</f>
        <v>0.321893365175163</v>
      </c>
      <c r="BH31" s="67" t="n">
        <f aca="false">IFERROR(BH20/(BH21*0.1467),0)</f>
        <v>0.321893365175163</v>
      </c>
      <c r="BI31" s="67" t="n">
        <f aca="false">IFERROR(BI20/(BI21*0.1467),0)</f>
        <v>0.321893365175163</v>
      </c>
      <c r="BJ31" s="67" t="n">
        <f aca="false">IFERROR(BJ20/(BJ21*0.1467),0)</f>
        <v>0.321893365175163</v>
      </c>
      <c r="BK31" s="67" t="n">
        <f aca="false">IFERROR(BK20/(BK21*0.1467),0)</f>
        <v>0.321893365175163</v>
      </c>
      <c r="BL31" s="67" t="n">
        <f aca="false">IFERROR(BL20/(BL21*0.1467),0)</f>
        <v>0.321893365175163</v>
      </c>
      <c r="BM31" s="67" t="n">
        <f aca="false">IFERROR(BM20/(BM21*0.1467),0)</f>
        <v>0.321893365175163</v>
      </c>
      <c r="BN31" s="67" t="n">
        <f aca="false">IFERROR(BN20/(BN21*0.1467),0)</f>
        <v>0.321893365175163</v>
      </c>
      <c r="BO31" s="67" t="n">
        <f aca="false">IFERROR(BO20/(BO21*0.1467),0)</f>
        <v>0.321893365175163</v>
      </c>
      <c r="BP31" s="67" t="n">
        <f aca="false">IFERROR(BP20/(BP21*0.1467),0)</f>
        <v>0.321893365175163</v>
      </c>
      <c r="BQ31" s="67" t="n">
        <f aca="false">IFERROR(BQ20/(BQ21*0.1467),0)</f>
        <v>0.321893365175163</v>
      </c>
      <c r="BR31" s="67" t="n">
        <f aca="false">IFERROR(BR20/(BR21*0.1467),0)</f>
        <v>0.321893365175163</v>
      </c>
      <c r="BS31" s="67" t="n">
        <f aca="false">IFERROR(BS20/(BS21*0.1467),0)</f>
        <v>0.321893365175163</v>
      </c>
      <c r="BT31" s="67" t="n">
        <f aca="false">IFERROR(BT20/(BT21*0.1467),0)</f>
        <v>0.321893365175163</v>
      </c>
      <c r="BU31" s="67" t="n">
        <f aca="false">IFERROR(BU20/(BU21*0.1467),0)</f>
        <v>0.321893365175163</v>
      </c>
      <c r="BV31" s="67" t="n">
        <f aca="false">IFERROR(BV20/(BV21*0.1467),0)</f>
        <v>0.321893365175163</v>
      </c>
      <c r="BW31" s="67" t="n">
        <f aca="false">IFERROR(BW20/(BW21*0.1467),0)</f>
        <v>0.321893365175163</v>
      </c>
      <c r="BX31" s="67" t="n">
        <f aca="false">IFERROR(BX20/(BX21*0.1467),0)</f>
        <v>0.321893365175163</v>
      </c>
      <c r="BY31" s="67" t="n">
        <f aca="false">IFERROR(BY20/(BY21*0.1467),0)</f>
        <v>0.321893365175163</v>
      </c>
      <c r="BZ31" s="67" t="n">
        <f aca="false">IFERROR(BZ20/(BZ21*0.1467),0)</f>
        <v>0.321893365175163</v>
      </c>
      <c r="CA31" s="67" t="n">
        <f aca="false">IFERROR(CA20/(CA21*0.1467),0)</f>
        <v>0.321893365175163</v>
      </c>
      <c r="CB31" s="67" t="n">
        <f aca="false">IFERROR(CB20/(CB21*0.1467),0)</f>
        <v>0.321893365175163</v>
      </c>
      <c r="CC31" s="67" t="n">
        <f aca="false">IFERROR(CC20/(CC21*0.1467),0)</f>
        <v>0.321893365175163</v>
      </c>
      <c r="CD31" s="67" t="n">
        <f aca="false">IFERROR(CD20/(CD21*0.1467),0)</f>
        <v>0.321893365175163</v>
      </c>
      <c r="CE31" s="67" t="n">
        <f aca="false">IFERROR(CE20/(CE21*0.1467),0)</f>
        <v>0.321893365175163</v>
      </c>
      <c r="CF31" s="67" t="n">
        <f aca="false">IFERROR(CF20/(CF21*0.1467),0)</f>
        <v>0.321893365175163</v>
      </c>
      <c r="CG31" s="67" t="n">
        <f aca="false">IFERROR(CG20/(CG21*0.1467),0)</f>
        <v>0.321893365175163</v>
      </c>
      <c r="CH31" s="67" t="n">
        <f aca="false">IFERROR(CH20/(CH21*0.1467),0)</f>
        <v>0.321893365175163</v>
      </c>
      <c r="CI31" s="67" t="n">
        <f aca="false">IFERROR(CI20/(CI21*0.1467),0)</f>
        <v>0.321893365175163</v>
      </c>
      <c r="CJ31" s="67" t="n">
        <f aca="false">IFERROR(CJ20/(CJ21*0.1467),0)</f>
        <v>0.321893365175163</v>
      </c>
      <c r="CK31" s="67" t="n">
        <f aca="false">IFERROR(CK20/(CK21*0.1467),0)</f>
        <v>0.321893365175163</v>
      </c>
      <c r="CL31" s="67" t="n">
        <f aca="false">IFERROR(CL20/(CL21*0.1467),0)</f>
        <v>0.321893365175163</v>
      </c>
      <c r="CM31" s="67" t="n">
        <f aca="false">IFERROR(CM20/(CM21*0.1467),0)</f>
        <v>0.321893365175163</v>
      </c>
      <c r="CN31" s="67" t="n">
        <f aca="false">IFERROR(CN20/(CN21*0.1467),0)</f>
        <v>0.321893365175163</v>
      </c>
      <c r="CO31" s="67" t="n">
        <f aca="false">IFERROR(CO20/(CO21*0.1467),0)</f>
        <v>0.321893365175163</v>
      </c>
      <c r="CP31" s="67" t="n">
        <f aca="false">IFERROR(CP20/(CP21*0.1467),0)</f>
        <v>0.321893365175163</v>
      </c>
      <c r="CQ31" s="67" t="n">
        <f aca="false">IFERROR(CQ20/(CQ21*0.1467),0)</f>
        <v>0.321893365175163</v>
      </c>
      <c r="CR31" s="67" t="n">
        <f aca="false">IFERROR(CR20/(CR21*0.1467),0)</f>
        <v>0.321893365175163</v>
      </c>
      <c r="CS31" s="67" t="n">
        <f aca="false">IFERROR(CS20/(CS21*0.1467),0)</f>
        <v>0.321893365175163</v>
      </c>
      <c r="CT31" s="67" t="n">
        <f aca="false">IFERROR(CT20/(CT21*0.1467),0)</f>
        <v>0.321893365175163</v>
      </c>
    </row>
    <row r="32" customFormat="false" ht="15" hidden="false" customHeight="false" outlineLevel="0" collapsed="false">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row>
    <row r="33" customFormat="false" ht="64.5" hidden="false" customHeight="true" outlineLevel="0" collapsed="false">
      <c r="A33" s="2"/>
      <c r="B33" s="22" t="s">
        <v>652</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T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98" min="3" style="1" width="11"/>
  </cols>
  <sheetData>
    <row r="2" customFormat="false" ht="15.75" hidden="false" customHeight="true" outlineLevel="0" collapsed="false">
      <c r="B2" s="16" t="s">
        <v>653</v>
      </c>
    </row>
    <row r="3" customFormat="false" ht="15" hidden="false" customHeight="true" outlineLevel="0" collapsed="false">
      <c r="B3" s="4" t="s">
        <v>654</v>
      </c>
    </row>
    <row r="5" customFormat="false" ht="15" hidden="false" customHeight="true" outlineLevel="0" collapsed="false">
      <c r="B5" s="52" t="s">
        <v>541</v>
      </c>
      <c r="C5" s="52" t="s">
        <v>542</v>
      </c>
      <c r="D5" s="53"/>
      <c r="E5" s="53"/>
      <c r="F5" s="53"/>
      <c r="G5" s="53"/>
      <c r="H5" s="53"/>
      <c r="I5" s="53"/>
      <c r="J5" s="53"/>
      <c r="K5" s="53"/>
      <c r="L5" s="53"/>
      <c r="M5" s="53"/>
      <c r="N5" s="53"/>
      <c r="O5" s="52" t="s">
        <v>543</v>
      </c>
      <c r="P5" s="53"/>
      <c r="Q5" s="53"/>
      <c r="R5" s="53"/>
      <c r="S5" s="53"/>
      <c r="T5" s="53"/>
      <c r="U5" s="53"/>
      <c r="V5" s="53"/>
      <c r="W5" s="53"/>
      <c r="X5" s="53"/>
      <c r="Y5" s="53"/>
      <c r="Z5" s="53"/>
      <c r="AA5" s="52" t="s">
        <v>544</v>
      </c>
      <c r="AB5" s="53"/>
      <c r="AC5" s="53"/>
      <c r="AD5" s="53"/>
      <c r="AE5" s="53"/>
      <c r="AF5" s="53"/>
      <c r="AG5" s="53"/>
      <c r="AH5" s="53"/>
      <c r="AI5" s="53"/>
      <c r="AJ5" s="53"/>
      <c r="AK5" s="53"/>
      <c r="AL5" s="53"/>
      <c r="AM5" s="52" t="s">
        <v>545</v>
      </c>
      <c r="AN5" s="53"/>
      <c r="AO5" s="53"/>
      <c r="AP5" s="53"/>
      <c r="AQ5" s="53"/>
      <c r="AR5" s="53"/>
      <c r="AS5" s="53"/>
      <c r="AT5" s="53"/>
      <c r="AU5" s="53"/>
      <c r="AV5" s="53"/>
      <c r="AW5" s="53"/>
      <c r="AX5" s="53"/>
      <c r="AY5" s="52" t="s">
        <v>546</v>
      </c>
      <c r="AZ5" s="53"/>
      <c r="BA5" s="53"/>
      <c r="BB5" s="53"/>
      <c r="BC5" s="53"/>
      <c r="BD5" s="53"/>
      <c r="BE5" s="53"/>
      <c r="BF5" s="53"/>
      <c r="BG5" s="53"/>
      <c r="BH5" s="53"/>
      <c r="BI5" s="53"/>
      <c r="BJ5" s="53"/>
      <c r="BK5" s="52" t="s">
        <v>547</v>
      </c>
      <c r="BL5" s="53"/>
      <c r="BM5" s="53"/>
      <c r="BN5" s="53"/>
      <c r="BO5" s="53"/>
      <c r="BP5" s="53"/>
      <c r="BQ5" s="53"/>
      <c r="BR5" s="53"/>
      <c r="BS5" s="53"/>
      <c r="BT5" s="53"/>
      <c r="BU5" s="53"/>
      <c r="BV5" s="53"/>
      <c r="BW5" s="52" t="s">
        <v>548</v>
      </c>
      <c r="BX5" s="53"/>
      <c r="BY5" s="53"/>
      <c r="BZ5" s="53"/>
      <c r="CA5" s="53"/>
      <c r="CB5" s="53"/>
      <c r="CC5" s="53"/>
      <c r="CD5" s="53"/>
      <c r="CE5" s="53"/>
      <c r="CF5" s="53"/>
      <c r="CG5" s="53"/>
      <c r="CH5" s="53"/>
      <c r="CI5" s="52" t="s">
        <v>549</v>
      </c>
      <c r="CJ5" s="53"/>
      <c r="CK5" s="53"/>
      <c r="CL5" s="53"/>
      <c r="CM5" s="53"/>
      <c r="CN5" s="53"/>
      <c r="CO5" s="53"/>
      <c r="CP5" s="53"/>
      <c r="CQ5" s="53"/>
      <c r="CR5" s="53"/>
      <c r="CS5" s="53"/>
      <c r="CT5" s="53"/>
    </row>
    <row r="6" customFormat="false" ht="15" hidden="false" customHeight="true" outlineLevel="0" collapsed="false">
      <c r="B6" s="54" t="s">
        <v>550</v>
      </c>
      <c r="C6" s="55" t="s">
        <v>505</v>
      </c>
      <c r="D6" s="55" t="s">
        <v>506</v>
      </c>
      <c r="E6" s="55" t="s">
        <v>507</v>
      </c>
      <c r="F6" s="55" t="s">
        <v>508</v>
      </c>
      <c r="G6" s="55" t="s">
        <v>509</v>
      </c>
      <c r="H6" s="55" t="s">
        <v>510</v>
      </c>
      <c r="I6" s="55" t="s">
        <v>511</v>
      </c>
      <c r="J6" s="55" t="s">
        <v>512</v>
      </c>
      <c r="K6" s="55" t="s">
        <v>513</v>
      </c>
      <c r="L6" s="55" t="s">
        <v>514</v>
      </c>
      <c r="M6" s="55" t="s">
        <v>515</v>
      </c>
      <c r="N6" s="55" t="s">
        <v>516</v>
      </c>
      <c r="O6" s="55" t="s">
        <v>505</v>
      </c>
      <c r="P6" s="55" t="s">
        <v>506</v>
      </c>
      <c r="Q6" s="55" t="s">
        <v>507</v>
      </c>
      <c r="R6" s="55" t="s">
        <v>508</v>
      </c>
      <c r="S6" s="55" t="s">
        <v>509</v>
      </c>
      <c r="T6" s="55" t="s">
        <v>510</v>
      </c>
      <c r="U6" s="55" t="s">
        <v>511</v>
      </c>
      <c r="V6" s="55" t="s">
        <v>512</v>
      </c>
      <c r="W6" s="55" t="s">
        <v>513</v>
      </c>
      <c r="X6" s="55" t="s">
        <v>514</v>
      </c>
      <c r="Y6" s="55" t="s">
        <v>515</v>
      </c>
      <c r="Z6" s="55" t="s">
        <v>516</v>
      </c>
      <c r="AA6" s="55" t="s">
        <v>505</v>
      </c>
      <c r="AB6" s="55" t="s">
        <v>506</v>
      </c>
      <c r="AC6" s="55" t="s">
        <v>507</v>
      </c>
      <c r="AD6" s="55" t="s">
        <v>508</v>
      </c>
      <c r="AE6" s="55" t="s">
        <v>509</v>
      </c>
      <c r="AF6" s="55" t="s">
        <v>510</v>
      </c>
      <c r="AG6" s="55" t="s">
        <v>511</v>
      </c>
      <c r="AH6" s="55" t="s">
        <v>512</v>
      </c>
      <c r="AI6" s="55" t="s">
        <v>513</v>
      </c>
      <c r="AJ6" s="55" t="s">
        <v>514</v>
      </c>
      <c r="AK6" s="55" t="s">
        <v>515</v>
      </c>
      <c r="AL6" s="55" t="s">
        <v>516</v>
      </c>
      <c r="AM6" s="55" t="s">
        <v>505</v>
      </c>
      <c r="AN6" s="55" t="s">
        <v>506</v>
      </c>
      <c r="AO6" s="55" t="s">
        <v>507</v>
      </c>
      <c r="AP6" s="55" t="s">
        <v>508</v>
      </c>
      <c r="AQ6" s="55" t="s">
        <v>509</v>
      </c>
      <c r="AR6" s="55" t="s">
        <v>510</v>
      </c>
      <c r="AS6" s="55" t="s">
        <v>511</v>
      </c>
      <c r="AT6" s="55" t="s">
        <v>512</v>
      </c>
      <c r="AU6" s="55" t="s">
        <v>513</v>
      </c>
      <c r="AV6" s="55" t="s">
        <v>514</v>
      </c>
      <c r="AW6" s="55" t="s">
        <v>515</v>
      </c>
      <c r="AX6" s="55" t="s">
        <v>516</v>
      </c>
      <c r="AY6" s="55" t="s">
        <v>505</v>
      </c>
      <c r="AZ6" s="55" t="s">
        <v>506</v>
      </c>
      <c r="BA6" s="55" t="s">
        <v>507</v>
      </c>
      <c r="BB6" s="55" t="s">
        <v>508</v>
      </c>
      <c r="BC6" s="55" t="s">
        <v>509</v>
      </c>
      <c r="BD6" s="55" t="s">
        <v>510</v>
      </c>
      <c r="BE6" s="55" t="s">
        <v>511</v>
      </c>
      <c r="BF6" s="55" t="s">
        <v>512</v>
      </c>
      <c r="BG6" s="55" t="s">
        <v>513</v>
      </c>
      <c r="BH6" s="55" t="s">
        <v>514</v>
      </c>
      <c r="BI6" s="55" t="s">
        <v>515</v>
      </c>
      <c r="BJ6" s="55" t="s">
        <v>516</v>
      </c>
      <c r="BK6" s="55" t="s">
        <v>505</v>
      </c>
      <c r="BL6" s="55" t="s">
        <v>506</v>
      </c>
      <c r="BM6" s="55" t="s">
        <v>507</v>
      </c>
      <c r="BN6" s="55" t="s">
        <v>508</v>
      </c>
      <c r="BO6" s="55" t="s">
        <v>509</v>
      </c>
      <c r="BP6" s="55" t="s">
        <v>510</v>
      </c>
      <c r="BQ6" s="55" t="s">
        <v>511</v>
      </c>
      <c r="BR6" s="55" t="s">
        <v>512</v>
      </c>
      <c r="BS6" s="55" t="s">
        <v>513</v>
      </c>
      <c r="BT6" s="55" t="s">
        <v>514</v>
      </c>
      <c r="BU6" s="55" t="s">
        <v>515</v>
      </c>
      <c r="BV6" s="55" t="s">
        <v>516</v>
      </c>
      <c r="BW6" s="55" t="s">
        <v>505</v>
      </c>
      <c r="BX6" s="55" t="s">
        <v>506</v>
      </c>
      <c r="BY6" s="55" t="s">
        <v>507</v>
      </c>
      <c r="BZ6" s="55" t="s">
        <v>508</v>
      </c>
      <c r="CA6" s="55" t="s">
        <v>509</v>
      </c>
      <c r="CB6" s="55" t="s">
        <v>510</v>
      </c>
      <c r="CC6" s="55" t="s">
        <v>511</v>
      </c>
      <c r="CD6" s="55" t="s">
        <v>512</v>
      </c>
      <c r="CE6" s="55" t="s">
        <v>513</v>
      </c>
      <c r="CF6" s="55" t="s">
        <v>514</v>
      </c>
      <c r="CG6" s="55" t="s">
        <v>515</v>
      </c>
      <c r="CH6" s="55" t="s">
        <v>516</v>
      </c>
      <c r="CI6" s="55" t="s">
        <v>505</v>
      </c>
      <c r="CJ6" s="55" t="s">
        <v>506</v>
      </c>
      <c r="CK6" s="55" t="s">
        <v>507</v>
      </c>
      <c r="CL6" s="55" t="s">
        <v>508</v>
      </c>
      <c r="CM6" s="55" t="s">
        <v>509</v>
      </c>
      <c r="CN6" s="55" t="s">
        <v>510</v>
      </c>
      <c r="CO6" s="55" t="s">
        <v>511</v>
      </c>
      <c r="CP6" s="55" t="s">
        <v>512</v>
      </c>
      <c r="CQ6" s="55" t="s">
        <v>513</v>
      </c>
      <c r="CR6" s="55" t="s">
        <v>514</v>
      </c>
      <c r="CS6" s="55" t="s">
        <v>515</v>
      </c>
      <c r="CT6" s="55" t="s">
        <v>516</v>
      </c>
    </row>
    <row r="8" customFormat="false" ht="15" hidden="false" customHeight="true" outlineLevel="0" collapsed="false">
      <c r="B8" s="19" t="s">
        <v>655</v>
      </c>
      <c r="C8" s="57" t="n">
        <f aca="false">Supuestos!$C$21*(1+Supuestos!$C$36)^3*Estacionalidad!C$14</f>
        <v>1734471280.5078</v>
      </c>
      <c r="D8" s="57" t="n">
        <f aca="false">Supuestos!$C$21*(1+Supuestos!$C$36)^3*Estacionalidad!D$14</f>
        <v>2312628374.0104</v>
      </c>
      <c r="E8" s="57" t="n">
        <f aca="false">Supuestos!$C$21*(1+Supuestos!$C$36)^3*Estacionalidad!E$14</f>
        <v>4625256748.0208</v>
      </c>
      <c r="F8" s="57" t="n">
        <f aca="false">Supuestos!$C$21*(1+Supuestos!$C$36)^3*Estacionalidad!F$14</f>
        <v>5203413841.5234</v>
      </c>
      <c r="G8" s="57" t="n">
        <f aca="false">Supuestos!$C$21*(1+Supuestos!$C$36)^3*Estacionalidad!G$14</f>
        <v>5781570935.026</v>
      </c>
      <c r="H8" s="57" t="n">
        <f aca="false">Supuestos!$C$21*(1+Supuestos!$C$36)^3*Estacionalidad!H$14</f>
        <v>5781570935.026</v>
      </c>
      <c r="I8" s="57" t="n">
        <f aca="false">Supuestos!$C$21*(1+Supuestos!$C$36)^3*Estacionalidad!I$14</f>
        <v>5781570935.026</v>
      </c>
      <c r="J8" s="57" t="n">
        <f aca="false">Supuestos!$C$21*(1+Supuestos!$C$36)^3*Estacionalidad!J$14</f>
        <v>5781570935.026</v>
      </c>
      <c r="K8" s="57" t="n">
        <f aca="false">Supuestos!$C$21*(1+Supuestos!$C$36)^3*Estacionalidad!K$14</f>
        <v>5781570935.026</v>
      </c>
      <c r="L8" s="57" t="n">
        <f aca="false">Supuestos!$C$21*(1+Supuestos!$C$36)^3*Estacionalidad!L$14</f>
        <v>5781570935.026</v>
      </c>
      <c r="M8" s="57" t="n">
        <f aca="false">Supuestos!$C$21*(1+Supuestos!$C$36)^3*Estacionalidad!M$14</f>
        <v>5203413841.5234</v>
      </c>
      <c r="N8" s="57" t="n">
        <f aca="false">Supuestos!$C$21*(1+Supuestos!$C$36)^3*Estacionalidad!N$14</f>
        <v>4047099654.5182</v>
      </c>
      <c r="O8" s="57" t="n">
        <f aca="false">Supuestos!$C$21*(1+Supuestos!$C$36)^4*Estacionalidad!C$14</f>
        <v>1734471280.5078</v>
      </c>
      <c r="P8" s="57" t="n">
        <f aca="false">Supuestos!$C$21*(1+Supuestos!$C$36)^4*Estacionalidad!D$14</f>
        <v>2312628374.0104</v>
      </c>
      <c r="Q8" s="57" t="n">
        <f aca="false">Supuestos!$C$21*(1+Supuestos!$C$36)^4*Estacionalidad!E$14</f>
        <v>4625256748.0208</v>
      </c>
      <c r="R8" s="57" t="n">
        <f aca="false">Supuestos!$C$21*(1+Supuestos!$C$36)^4*Estacionalidad!F$14</f>
        <v>5203413841.5234</v>
      </c>
      <c r="S8" s="57" t="n">
        <f aca="false">Supuestos!$C$21*(1+Supuestos!$C$36)^4*Estacionalidad!G$14</f>
        <v>5781570935.026</v>
      </c>
      <c r="T8" s="57" t="n">
        <f aca="false">Supuestos!$C$21*(1+Supuestos!$C$36)^4*Estacionalidad!H$14</f>
        <v>5781570935.026</v>
      </c>
      <c r="U8" s="57" t="n">
        <f aca="false">Supuestos!$C$21*(1+Supuestos!$C$36)^4*Estacionalidad!I$14</f>
        <v>5781570935.026</v>
      </c>
      <c r="V8" s="57" t="n">
        <f aca="false">Supuestos!$C$21*(1+Supuestos!$C$36)^4*Estacionalidad!J$14</f>
        <v>5781570935.026</v>
      </c>
      <c r="W8" s="57" t="n">
        <f aca="false">Supuestos!$C$21*(1+Supuestos!$C$36)^4*Estacionalidad!K$14</f>
        <v>5781570935.026</v>
      </c>
      <c r="X8" s="57" t="n">
        <f aca="false">Supuestos!$C$21*(1+Supuestos!$C$36)^4*Estacionalidad!L$14</f>
        <v>5781570935.026</v>
      </c>
      <c r="Y8" s="57" t="n">
        <f aca="false">Supuestos!$C$21*(1+Supuestos!$C$36)^4*Estacionalidad!M$14</f>
        <v>5203413841.5234</v>
      </c>
      <c r="Z8" s="57" t="n">
        <f aca="false">Supuestos!$C$21*(1+Supuestos!$C$36)^4*Estacionalidad!N$14</f>
        <v>4047099654.5182</v>
      </c>
      <c r="AA8" s="57" t="n">
        <f aca="false">Supuestos!$C$21*(1+Supuestos!$C$36)^5*Estacionalidad!C$14</f>
        <v>1734471280.5078</v>
      </c>
      <c r="AB8" s="57" t="n">
        <f aca="false">Supuestos!$C$21*(1+Supuestos!$C$36)^5*Estacionalidad!D$14</f>
        <v>2312628374.0104</v>
      </c>
      <c r="AC8" s="57" t="n">
        <f aca="false">Supuestos!$C$21*(1+Supuestos!$C$36)^5*Estacionalidad!E$14</f>
        <v>4625256748.0208</v>
      </c>
      <c r="AD8" s="57" t="n">
        <f aca="false">Supuestos!$C$21*(1+Supuestos!$C$36)^5*Estacionalidad!F$14</f>
        <v>5203413841.5234</v>
      </c>
      <c r="AE8" s="57" t="n">
        <f aca="false">Supuestos!$C$21*(1+Supuestos!$C$36)^5*Estacionalidad!G$14</f>
        <v>5781570935.026</v>
      </c>
      <c r="AF8" s="57" t="n">
        <f aca="false">Supuestos!$C$21*(1+Supuestos!$C$36)^5*Estacionalidad!H$14</f>
        <v>5781570935.026</v>
      </c>
      <c r="AG8" s="57" t="n">
        <f aca="false">Supuestos!$C$21*(1+Supuestos!$C$36)^5*Estacionalidad!I$14</f>
        <v>5781570935.026</v>
      </c>
      <c r="AH8" s="57" t="n">
        <f aca="false">Supuestos!$C$21*(1+Supuestos!$C$36)^5*Estacionalidad!J$14</f>
        <v>5781570935.026</v>
      </c>
      <c r="AI8" s="57" t="n">
        <f aca="false">Supuestos!$C$21*(1+Supuestos!$C$36)^5*Estacionalidad!K$14</f>
        <v>5781570935.026</v>
      </c>
      <c r="AJ8" s="57" t="n">
        <f aca="false">Supuestos!$C$21*(1+Supuestos!$C$36)^5*Estacionalidad!L$14</f>
        <v>5781570935.026</v>
      </c>
      <c r="AK8" s="57" t="n">
        <f aca="false">Supuestos!$C$21*(1+Supuestos!$C$36)^5*Estacionalidad!M$14</f>
        <v>5203413841.5234</v>
      </c>
      <c r="AL8" s="57" t="n">
        <f aca="false">Supuestos!$C$21*(1+Supuestos!$C$36)^5*Estacionalidad!N$14</f>
        <v>4047099654.5182</v>
      </c>
      <c r="AM8" s="57" t="n">
        <f aca="false">Supuestos!$C$21*(1+Supuestos!$C$36)^6*Estacionalidad!C$14</f>
        <v>1734471280.5078</v>
      </c>
      <c r="AN8" s="57" t="n">
        <f aca="false">Supuestos!$C$21*(1+Supuestos!$C$36)^6*Estacionalidad!D$14</f>
        <v>2312628374.0104</v>
      </c>
      <c r="AO8" s="57" t="n">
        <f aca="false">Supuestos!$C$21*(1+Supuestos!$C$36)^6*Estacionalidad!E$14</f>
        <v>4625256748.0208</v>
      </c>
      <c r="AP8" s="57" t="n">
        <f aca="false">Supuestos!$C$21*(1+Supuestos!$C$36)^6*Estacionalidad!F$14</f>
        <v>5203413841.5234</v>
      </c>
      <c r="AQ8" s="57" t="n">
        <f aca="false">Supuestos!$C$21*(1+Supuestos!$C$36)^6*Estacionalidad!G$14</f>
        <v>5781570935.026</v>
      </c>
      <c r="AR8" s="57" t="n">
        <f aca="false">Supuestos!$C$21*(1+Supuestos!$C$36)^6*Estacionalidad!H$14</f>
        <v>5781570935.026</v>
      </c>
      <c r="AS8" s="57" t="n">
        <f aca="false">Supuestos!$C$21*(1+Supuestos!$C$36)^6*Estacionalidad!I$14</f>
        <v>5781570935.026</v>
      </c>
      <c r="AT8" s="57" t="n">
        <f aca="false">Supuestos!$C$21*(1+Supuestos!$C$36)^6*Estacionalidad!J$14</f>
        <v>5781570935.026</v>
      </c>
      <c r="AU8" s="57" t="n">
        <f aca="false">Supuestos!$C$21*(1+Supuestos!$C$36)^6*Estacionalidad!K$14</f>
        <v>5781570935.026</v>
      </c>
      <c r="AV8" s="57" t="n">
        <f aca="false">Supuestos!$C$21*(1+Supuestos!$C$36)^6*Estacionalidad!L$14</f>
        <v>5781570935.026</v>
      </c>
      <c r="AW8" s="57" t="n">
        <f aca="false">Supuestos!$C$21*(1+Supuestos!$C$36)^6*Estacionalidad!M$14</f>
        <v>5203413841.5234</v>
      </c>
      <c r="AX8" s="57" t="n">
        <f aca="false">Supuestos!$C$21*(1+Supuestos!$C$36)^6*Estacionalidad!N$14</f>
        <v>4047099654.5182</v>
      </c>
      <c r="AY8" s="57" t="n">
        <f aca="false">Supuestos!$C$21*(1+Supuestos!$C$36)^7*Estacionalidad!C$14</f>
        <v>1734471280.5078</v>
      </c>
      <c r="AZ8" s="57" t="n">
        <f aca="false">Supuestos!$C$21*(1+Supuestos!$C$36)^7*Estacionalidad!D$14</f>
        <v>2312628374.0104</v>
      </c>
      <c r="BA8" s="57" t="n">
        <f aca="false">Supuestos!$C$21*(1+Supuestos!$C$36)^7*Estacionalidad!E$14</f>
        <v>4625256748.0208</v>
      </c>
      <c r="BB8" s="57" t="n">
        <f aca="false">Supuestos!$C$21*(1+Supuestos!$C$36)^7*Estacionalidad!F$14</f>
        <v>5203413841.5234</v>
      </c>
      <c r="BC8" s="57" t="n">
        <f aca="false">Supuestos!$C$21*(1+Supuestos!$C$36)^7*Estacionalidad!G$14</f>
        <v>5781570935.026</v>
      </c>
      <c r="BD8" s="57" t="n">
        <f aca="false">Supuestos!$C$21*(1+Supuestos!$C$36)^7*Estacionalidad!H$14</f>
        <v>5781570935.026</v>
      </c>
      <c r="BE8" s="57" t="n">
        <f aca="false">Supuestos!$C$21*(1+Supuestos!$C$36)^7*Estacionalidad!I$14</f>
        <v>5781570935.026</v>
      </c>
      <c r="BF8" s="57" t="n">
        <f aca="false">Supuestos!$C$21*(1+Supuestos!$C$36)^7*Estacionalidad!J$14</f>
        <v>5781570935.026</v>
      </c>
      <c r="BG8" s="57" t="n">
        <f aca="false">Supuestos!$C$21*(1+Supuestos!$C$36)^7*Estacionalidad!K$14</f>
        <v>5781570935.026</v>
      </c>
      <c r="BH8" s="57" t="n">
        <f aca="false">Supuestos!$C$21*(1+Supuestos!$C$36)^7*Estacionalidad!L$14</f>
        <v>5781570935.026</v>
      </c>
      <c r="BI8" s="57" t="n">
        <f aca="false">Supuestos!$C$21*(1+Supuestos!$C$36)^7*Estacionalidad!M$14</f>
        <v>5203413841.5234</v>
      </c>
      <c r="BJ8" s="57" t="n">
        <f aca="false">Supuestos!$C$21*(1+Supuestos!$C$36)^7*Estacionalidad!N$14</f>
        <v>4047099654.5182</v>
      </c>
      <c r="BK8" s="57" t="n">
        <f aca="false">Supuestos!$C$21*(1+Supuestos!$C$36)^8*Estacionalidad!C$14</f>
        <v>1734471280.5078</v>
      </c>
      <c r="BL8" s="57" t="n">
        <f aca="false">Supuestos!$C$21*(1+Supuestos!$C$36)^8*Estacionalidad!D$14</f>
        <v>2312628374.0104</v>
      </c>
      <c r="BM8" s="57" t="n">
        <f aca="false">Supuestos!$C$21*(1+Supuestos!$C$36)^8*Estacionalidad!E$14</f>
        <v>4625256748.0208</v>
      </c>
      <c r="BN8" s="57" t="n">
        <f aca="false">Supuestos!$C$21*(1+Supuestos!$C$36)^8*Estacionalidad!F$14</f>
        <v>5203413841.5234</v>
      </c>
      <c r="BO8" s="57" t="n">
        <f aca="false">Supuestos!$C$21*(1+Supuestos!$C$36)^8*Estacionalidad!G$14</f>
        <v>5781570935.026</v>
      </c>
      <c r="BP8" s="57" t="n">
        <f aca="false">Supuestos!$C$21*(1+Supuestos!$C$36)^8*Estacionalidad!H$14</f>
        <v>5781570935.026</v>
      </c>
      <c r="BQ8" s="57" t="n">
        <f aca="false">Supuestos!$C$21*(1+Supuestos!$C$36)^8*Estacionalidad!I$14</f>
        <v>5781570935.026</v>
      </c>
      <c r="BR8" s="57" t="n">
        <f aca="false">Supuestos!$C$21*(1+Supuestos!$C$36)^8*Estacionalidad!J$14</f>
        <v>5781570935.026</v>
      </c>
      <c r="BS8" s="57" t="n">
        <f aca="false">Supuestos!$C$21*(1+Supuestos!$C$36)^8*Estacionalidad!K$14</f>
        <v>5781570935.026</v>
      </c>
      <c r="BT8" s="57" t="n">
        <f aca="false">Supuestos!$C$21*(1+Supuestos!$C$36)^8*Estacionalidad!L$14</f>
        <v>5781570935.026</v>
      </c>
      <c r="BU8" s="57" t="n">
        <f aca="false">Supuestos!$C$21*(1+Supuestos!$C$36)^8*Estacionalidad!M$14</f>
        <v>5203413841.5234</v>
      </c>
      <c r="BV8" s="57" t="n">
        <f aca="false">Supuestos!$C$21*(1+Supuestos!$C$36)^8*Estacionalidad!N$14</f>
        <v>4047099654.5182</v>
      </c>
      <c r="BW8" s="57" t="n">
        <f aca="false">Supuestos!$C$21*(1+Supuestos!$C$36)^9*Estacionalidad!C$14</f>
        <v>1734471280.5078</v>
      </c>
      <c r="BX8" s="57" t="n">
        <f aca="false">Supuestos!$C$21*(1+Supuestos!$C$36)^9*Estacionalidad!D$14</f>
        <v>2312628374.0104</v>
      </c>
      <c r="BY8" s="57" t="n">
        <f aca="false">Supuestos!$C$21*(1+Supuestos!$C$36)^9*Estacionalidad!E$14</f>
        <v>4625256748.0208</v>
      </c>
      <c r="BZ8" s="57" t="n">
        <f aca="false">Supuestos!$C$21*(1+Supuestos!$C$36)^9*Estacionalidad!F$14</f>
        <v>5203413841.5234</v>
      </c>
      <c r="CA8" s="57" t="n">
        <f aca="false">Supuestos!$C$21*(1+Supuestos!$C$36)^9*Estacionalidad!G$14</f>
        <v>5781570935.026</v>
      </c>
      <c r="CB8" s="57" t="n">
        <f aca="false">Supuestos!$C$21*(1+Supuestos!$C$36)^9*Estacionalidad!H$14</f>
        <v>5781570935.026</v>
      </c>
      <c r="CC8" s="57" t="n">
        <f aca="false">Supuestos!$C$21*(1+Supuestos!$C$36)^9*Estacionalidad!I$14</f>
        <v>5781570935.026</v>
      </c>
      <c r="CD8" s="57" t="n">
        <f aca="false">Supuestos!$C$21*(1+Supuestos!$C$36)^9*Estacionalidad!J$14</f>
        <v>5781570935.026</v>
      </c>
      <c r="CE8" s="57" t="n">
        <f aca="false">Supuestos!$C$21*(1+Supuestos!$C$36)^9*Estacionalidad!K$14</f>
        <v>5781570935.026</v>
      </c>
      <c r="CF8" s="57" t="n">
        <f aca="false">Supuestos!$C$21*(1+Supuestos!$C$36)^9*Estacionalidad!L$14</f>
        <v>5781570935.026</v>
      </c>
      <c r="CG8" s="57" t="n">
        <f aca="false">Supuestos!$C$21*(1+Supuestos!$C$36)^9*Estacionalidad!M$14</f>
        <v>5203413841.5234</v>
      </c>
      <c r="CH8" s="57" t="n">
        <f aca="false">Supuestos!$C$21*(1+Supuestos!$C$36)^9*Estacionalidad!N$14</f>
        <v>4047099654.5182</v>
      </c>
      <c r="CI8" s="57" t="n">
        <f aca="false">Supuestos!$C$21*(1+Supuestos!$C$36)^10*Estacionalidad!C$14</f>
        <v>1734471280.5078</v>
      </c>
      <c r="CJ8" s="57" t="n">
        <f aca="false">Supuestos!$C$21*(1+Supuestos!$C$36)^10*Estacionalidad!D$14</f>
        <v>2312628374.0104</v>
      </c>
      <c r="CK8" s="57" t="n">
        <f aca="false">Supuestos!$C$21*(1+Supuestos!$C$36)^10*Estacionalidad!E$14</f>
        <v>4625256748.0208</v>
      </c>
      <c r="CL8" s="57" t="n">
        <f aca="false">Supuestos!$C$21*(1+Supuestos!$C$36)^10*Estacionalidad!F$14</f>
        <v>5203413841.5234</v>
      </c>
      <c r="CM8" s="57" t="n">
        <f aca="false">Supuestos!$C$21*(1+Supuestos!$C$36)^10*Estacionalidad!G$14</f>
        <v>5781570935.026</v>
      </c>
      <c r="CN8" s="57" t="n">
        <f aca="false">Supuestos!$C$21*(1+Supuestos!$C$36)^10*Estacionalidad!H$14</f>
        <v>5781570935.026</v>
      </c>
      <c r="CO8" s="57" t="n">
        <f aca="false">Supuestos!$C$21*(1+Supuestos!$C$36)^10*Estacionalidad!I$14</f>
        <v>5781570935.026</v>
      </c>
      <c r="CP8" s="57" t="n">
        <f aca="false">Supuestos!$C$21*(1+Supuestos!$C$36)^10*Estacionalidad!J$14</f>
        <v>5781570935.026</v>
      </c>
      <c r="CQ8" s="57" t="n">
        <f aca="false">Supuestos!$C$21*(1+Supuestos!$C$36)^10*Estacionalidad!K$14</f>
        <v>5781570935.026</v>
      </c>
      <c r="CR8" s="57" t="n">
        <f aca="false">Supuestos!$C$21*(1+Supuestos!$C$36)^10*Estacionalidad!L$14</f>
        <v>5781570935.026</v>
      </c>
      <c r="CS8" s="57" t="n">
        <f aca="false">Supuestos!$C$21*(1+Supuestos!$C$36)^10*Estacionalidad!M$14</f>
        <v>5203413841.5234</v>
      </c>
      <c r="CT8" s="57" t="n">
        <f aca="false">Supuestos!$C$21*(1+Supuestos!$C$36)^10*Estacionalidad!N$14</f>
        <v>4047099654.5182</v>
      </c>
    </row>
    <row r="9" customFormat="false" ht="15" hidden="false" customHeight="true" outlineLevel="0" collapsed="false">
      <c r="B9" s="19" t="s">
        <v>656</v>
      </c>
      <c r="C9" s="44" t="n">
        <f aca="false">Supuestos!$C$42</f>
        <v>0.125</v>
      </c>
      <c r="D9" s="44" t="n">
        <f aca="false">Supuestos!$C$42</f>
        <v>0.125</v>
      </c>
      <c r="E9" s="44" t="n">
        <f aca="false">Supuestos!$C$42</f>
        <v>0.125</v>
      </c>
      <c r="F9" s="44" t="n">
        <f aca="false">Supuestos!$C$42</f>
        <v>0.125</v>
      </c>
      <c r="G9" s="44" t="n">
        <f aca="false">Supuestos!$C$42</f>
        <v>0.125</v>
      </c>
      <c r="H9" s="44" t="n">
        <f aca="false">Supuestos!$C$42</f>
        <v>0.125</v>
      </c>
      <c r="I9" s="44" t="n">
        <f aca="false">Supuestos!$C$42</f>
        <v>0.125</v>
      </c>
      <c r="J9" s="44" t="n">
        <f aca="false">Supuestos!$C$42</f>
        <v>0.125</v>
      </c>
      <c r="K9" s="44" t="n">
        <f aca="false">Supuestos!$C$42</f>
        <v>0.125</v>
      </c>
      <c r="L9" s="44" t="n">
        <f aca="false">Supuestos!$C$42</f>
        <v>0.125</v>
      </c>
      <c r="M9" s="44" t="n">
        <f aca="false">Supuestos!$C$42</f>
        <v>0.125</v>
      </c>
      <c r="N9" s="44" t="n">
        <f aca="false">Supuestos!$C$42</f>
        <v>0.125</v>
      </c>
      <c r="O9" s="44" t="n">
        <f aca="false">Supuestos!$C$43</f>
        <v>0.25</v>
      </c>
      <c r="P9" s="44" t="n">
        <f aca="false">Supuestos!$C$43</f>
        <v>0.25</v>
      </c>
      <c r="Q9" s="44" t="n">
        <f aca="false">Supuestos!$C$43</f>
        <v>0.25</v>
      </c>
      <c r="R9" s="44" t="n">
        <f aca="false">Supuestos!$C$43</f>
        <v>0.25</v>
      </c>
      <c r="S9" s="44" t="n">
        <f aca="false">Supuestos!$C$43</f>
        <v>0.25</v>
      </c>
      <c r="T9" s="44" t="n">
        <f aca="false">Supuestos!$C$43</f>
        <v>0.25</v>
      </c>
      <c r="U9" s="44" t="n">
        <f aca="false">Supuestos!$C$43</f>
        <v>0.25</v>
      </c>
      <c r="V9" s="44" t="n">
        <f aca="false">Supuestos!$C$43</f>
        <v>0.25</v>
      </c>
      <c r="W9" s="44" t="n">
        <f aca="false">Supuestos!$C$43</f>
        <v>0.25</v>
      </c>
      <c r="X9" s="44" t="n">
        <f aca="false">Supuestos!$C$43</f>
        <v>0.25</v>
      </c>
      <c r="Y9" s="44" t="n">
        <f aca="false">Supuestos!$C$43</f>
        <v>0.25</v>
      </c>
      <c r="Z9" s="44" t="n">
        <f aca="false">Supuestos!$C$43</f>
        <v>0.25</v>
      </c>
      <c r="AA9" s="44" t="n">
        <f aca="false">Supuestos!$C$44</f>
        <v>0.375</v>
      </c>
      <c r="AB9" s="44" t="n">
        <f aca="false">Supuestos!$C$44</f>
        <v>0.375</v>
      </c>
      <c r="AC9" s="44" t="n">
        <f aca="false">Supuestos!$C$44</f>
        <v>0.375</v>
      </c>
      <c r="AD9" s="44" t="n">
        <f aca="false">Supuestos!$C$44</f>
        <v>0.375</v>
      </c>
      <c r="AE9" s="44" t="n">
        <f aca="false">Supuestos!$C$44</f>
        <v>0.375</v>
      </c>
      <c r="AF9" s="44" t="n">
        <f aca="false">Supuestos!$C$44</f>
        <v>0.375</v>
      </c>
      <c r="AG9" s="44" t="n">
        <f aca="false">Supuestos!$C$44</f>
        <v>0.375</v>
      </c>
      <c r="AH9" s="44" t="n">
        <f aca="false">Supuestos!$C$44</f>
        <v>0.375</v>
      </c>
      <c r="AI9" s="44" t="n">
        <f aca="false">Supuestos!$C$44</f>
        <v>0.375</v>
      </c>
      <c r="AJ9" s="44" t="n">
        <f aca="false">Supuestos!$C$44</f>
        <v>0.375</v>
      </c>
      <c r="AK9" s="44" t="n">
        <f aca="false">Supuestos!$C$44</f>
        <v>0.375</v>
      </c>
      <c r="AL9" s="44" t="n">
        <f aca="false">Supuestos!$C$44</f>
        <v>0.375</v>
      </c>
      <c r="AM9" s="44" t="n">
        <f aca="false">Supuestos!$C$45</f>
        <v>0.5</v>
      </c>
      <c r="AN9" s="44" t="n">
        <f aca="false">Supuestos!$C$45</f>
        <v>0.5</v>
      </c>
      <c r="AO9" s="44" t="n">
        <f aca="false">Supuestos!$C$45</f>
        <v>0.5</v>
      </c>
      <c r="AP9" s="44" t="n">
        <f aca="false">Supuestos!$C$45</f>
        <v>0.5</v>
      </c>
      <c r="AQ9" s="44" t="n">
        <f aca="false">Supuestos!$C$45</f>
        <v>0.5</v>
      </c>
      <c r="AR9" s="44" t="n">
        <f aca="false">Supuestos!$C$45</f>
        <v>0.5</v>
      </c>
      <c r="AS9" s="44" t="n">
        <f aca="false">Supuestos!$C$45</f>
        <v>0.5</v>
      </c>
      <c r="AT9" s="44" t="n">
        <f aca="false">Supuestos!$C$45</f>
        <v>0.5</v>
      </c>
      <c r="AU9" s="44" t="n">
        <f aca="false">Supuestos!$C$45</f>
        <v>0.5</v>
      </c>
      <c r="AV9" s="44" t="n">
        <f aca="false">Supuestos!$C$45</f>
        <v>0.5</v>
      </c>
      <c r="AW9" s="44" t="n">
        <f aca="false">Supuestos!$C$45</f>
        <v>0.5</v>
      </c>
      <c r="AX9" s="44" t="n">
        <f aca="false">Supuestos!$C$45</f>
        <v>0.5</v>
      </c>
      <c r="AY9" s="44" t="n">
        <f aca="false">Supuestos!$C$46</f>
        <v>0.5</v>
      </c>
      <c r="AZ9" s="44" t="n">
        <f aca="false">Supuestos!$C$46</f>
        <v>0.5</v>
      </c>
      <c r="BA9" s="44" t="n">
        <f aca="false">Supuestos!$C$46</f>
        <v>0.5</v>
      </c>
      <c r="BB9" s="44" t="n">
        <f aca="false">Supuestos!$C$46</f>
        <v>0.5</v>
      </c>
      <c r="BC9" s="44" t="n">
        <f aca="false">Supuestos!$C$46</f>
        <v>0.5</v>
      </c>
      <c r="BD9" s="44" t="n">
        <f aca="false">Supuestos!$C$46</f>
        <v>0.5</v>
      </c>
      <c r="BE9" s="44" t="n">
        <f aca="false">Supuestos!$C$46</f>
        <v>0.5</v>
      </c>
      <c r="BF9" s="44" t="n">
        <f aca="false">Supuestos!$C$46</f>
        <v>0.5</v>
      </c>
      <c r="BG9" s="44" t="n">
        <f aca="false">Supuestos!$C$46</f>
        <v>0.5</v>
      </c>
      <c r="BH9" s="44" t="n">
        <f aca="false">Supuestos!$C$46</f>
        <v>0.5</v>
      </c>
      <c r="BI9" s="44" t="n">
        <f aca="false">Supuestos!$C$46</f>
        <v>0.5</v>
      </c>
      <c r="BJ9" s="44" t="n">
        <f aca="false">Supuestos!$C$46</f>
        <v>0.5</v>
      </c>
      <c r="BK9" s="44" t="n">
        <f aca="false">Supuestos!$C$46</f>
        <v>0.5</v>
      </c>
      <c r="BL9" s="44" t="n">
        <f aca="false">Supuestos!$C$46</f>
        <v>0.5</v>
      </c>
      <c r="BM9" s="44" t="n">
        <f aca="false">Supuestos!$C$46</f>
        <v>0.5</v>
      </c>
      <c r="BN9" s="44" t="n">
        <f aca="false">Supuestos!$C$46</f>
        <v>0.5</v>
      </c>
      <c r="BO9" s="44" t="n">
        <f aca="false">Supuestos!$C$46</f>
        <v>0.5</v>
      </c>
      <c r="BP9" s="44" t="n">
        <f aca="false">Supuestos!$C$46</f>
        <v>0.5</v>
      </c>
      <c r="BQ9" s="44" t="n">
        <f aca="false">Supuestos!$C$46</f>
        <v>0.5</v>
      </c>
      <c r="BR9" s="44" t="n">
        <f aca="false">Supuestos!$C$46</f>
        <v>0.5</v>
      </c>
      <c r="BS9" s="44" t="n">
        <f aca="false">Supuestos!$C$46</f>
        <v>0.5</v>
      </c>
      <c r="BT9" s="44" t="n">
        <f aca="false">Supuestos!$C$46</f>
        <v>0.5</v>
      </c>
      <c r="BU9" s="44" t="n">
        <f aca="false">Supuestos!$C$46</f>
        <v>0.5</v>
      </c>
      <c r="BV9" s="44" t="n">
        <f aca="false">Supuestos!$C$46</f>
        <v>0.5</v>
      </c>
      <c r="BW9" s="44" t="n">
        <f aca="false">Supuestos!$C$46</f>
        <v>0.5</v>
      </c>
      <c r="BX9" s="44" t="n">
        <f aca="false">Supuestos!$C$46</f>
        <v>0.5</v>
      </c>
      <c r="BY9" s="44" t="n">
        <f aca="false">Supuestos!$C$46</f>
        <v>0.5</v>
      </c>
      <c r="BZ9" s="44" t="n">
        <f aca="false">Supuestos!$C$46</f>
        <v>0.5</v>
      </c>
      <c r="CA9" s="44" t="n">
        <f aca="false">Supuestos!$C$46</f>
        <v>0.5</v>
      </c>
      <c r="CB9" s="44" t="n">
        <f aca="false">Supuestos!$C$46</f>
        <v>0.5</v>
      </c>
      <c r="CC9" s="44" t="n">
        <f aca="false">Supuestos!$C$46</f>
        <v>0.5</v>
      </c>
      <c r="CD9" s="44" t="n">
        <f aca="false">Supuestos!$C$46</f>
        <v>0.5</v>
      </c>
      <c r="CE9" s="44" t="n">
        <f aca="false">Supuestos!$C$46</f>
        <v>0.5</v>
      </c>
      <c r="CF9" s="44" t="n">
        <f aca="false">Supuestos!$C$46</f>
        <v>0.5</v>
      </c>
      <c r="CG9" s="44" t="n">
        <f aca="false">Supuestos!$C$46</f>
        <v>0.5</v>
      </c>
      <c r="CH9" s="44" t="n">
        <f aca="false">Supuestos!$C$46</f>
        <v>0.5</v>
      </c>
      <c r="CI9" s="44" t="n">
        <f aca="false">Supuestos!$C$46</f>
        <v>0.5</v>
      </c>
      <c r="CJ9" s="44" t="n">
        <f aca="false">Supuestos!$C$46</f>
        <v>0.5</v>
      </c>
      <c r="CK9" s="44" t="n">
        <f aca="false">Supuestos!$C$46</f>
        <v>0.5</v>
      </c>
      <c r="CL9" s="44" t="n">
        <f aca="false">Supuestos!$C$46</f>
        <v>0.5</v>
      </c>
      <c r="CM9" s="44" t="n">
        <f aca="false">Supuestos!$C$46</f>
        <v>0.5</v>
      </c>
      <c r="CN9" s="44" t="n">
        <f aca="false">Supuestos!$C$46</f>
        <v>0.5</v>
      </c>
      <c r="CO9" s="44" t="n">
        <f aca="false">Supuestos!$C$46</f>
        <v>0.5</v>
      </c>
      <c r="CP9" s="44" t="n">
        <f aca="false">Supuestos!$C$46</f>
        <v>0.5</v>
      </c>
      <c r="CQ9" s="44" t="n">
        <f aca="false">Supuestos!$C$46</f>
        <v>0.5</v>
      </c>
      <c r="CR9" s="44" t="n">
        <f aca="false">Supuestos!$C$46</f>
        <v>0.5</v>
      </c>
      <c r="CS9" s="44" t="n">
        <f aca="false">Supuestos!$C$46</f>
        <v>0.5</v>
      </c>
      <c r="CT9" s="44" t="n">
        <f aca="false">Supuestos!$C$46</f>
        <v>0.5</v>
      </c>
    </row>
    <row r="10" customFormat="false" ht="15" hidden="false" customHeight="true" outlineLevel="0" collapsed="false">
      <c r="B10" s="46" t="s">
        <v>657</v>
      </c>
      <c r="C10" s="58" t="n">
        <f aca="false">C8*C9</f>
        <v>216808910.063475</v>
      </c>
      <c r="D10" s="58" t="n">
        <f aca="false">D8*D9</f>
        <v>289078546.7513</v>
      </c>
      <c r="E10" s="58" t="n">
        <f aca="false">E8*E9</f>
        <v>578157093.5026</v>
      </c>
      <c r="F10" s="58" t="n">
        <f aca="false">F8*F9</f>
        <v>650426730.190425</v>
      </c>
      <c r="G10" s="58" t="n">
        <f aca="false">G8*G9</f>
        <v>722696366.87825</v>
      </c>
      <c r="H10" s="58" t="n">
        <f aca="false">H8*H9</f>
        <v>722696366.87825</v>
      </c>
      <c r="I10" s="58" t="n">
        <f aca="false">I8*I9</f>
        <v>722696366.87825</v>
      </c>
      <c r="J10" s="58" t="n">
        <f aca="false">J8*J9</f>
        <v>722696366.87825</v>
      </c>
      <c r="K10" s="58" t="n">
        <f aca="false">K8*K9</f>
        <v>722696366.87825</v>
      </c>
      <c r="L10" s="58" t="n">
        <f aca="false">L8*L9</f>
        <v>722696366.87825</v>
      </c>
      <c r="M10" s="58" t="n">
        <f aca="false">M8*M9</f>
        <v>650426730.190425</v>
      </c>
      <c r="N10" s="58" t="n">
        <f aca="false">N8*N9</f>
        <v>505887456.814775</v>
      </c>
      <c r="O10" s="58" t="n">
        <f aca="false">O8*O9</f>
        <v>433617820.12695</v>
      </c>
      <c r="P10" s="58" t="n">
        <f aca="false">P8*P9</f>
        <v>578157093.5026</v>
      </c>
      <c r="Q10" s="58" t="n">
        <f aca="false">Q8*Q9</f>
        <v>1156314187.0052</v>
      </c>
      <c r="R10" s="58" t="n">
        <f aca="false">R8*R9</f>
        <v>1300853460.38085</v>
      </c>
      <c r="S10" s="58" t="n">
        <f aca="false">S8*S9</f>
        <v>1445392733.7565</v>
      </c>
      <c r="T10" s="58" t="n">
        <f aca="false">T8*T9</f>
        <v>1445392733.7565</v>
      </c>
      <c r="U10" s="58" t="n">
        <f aca="false">U8*U9</f>
        <v>1445392733.7565</v>
      </c>
      <c r="V10" s="58" t="n">
        <f aca="false">V8*V9</f>
        <v>1445392733.7565</v>
      </c>
      <c r="W10" s="58" t="n">
        <f aca="false">W8*W9</f>
        <v>1445392733.7565</v>
      </c>
      <c r="X10" s="58" t="n">
        <f aca="false">X8*X9</f>
        <v>1445392733.7565</v>
      </c>
      <c r="Y10" s="58" t="n">
        <f aca="false">Y8*Y9</f>
        <v>1300853460.38085</v>
      </c>
      <c r="Z10" s="58" t="n">
        <f aca="false">Z8*Z9</f>
        <v>1011774913.62955</v>
      </c>
      <c r="AA10" s="58" t="n">
        <f aca="false">AA8*AA9</f>
        <v>650426730.190425</v>
      </c>
      <c r="AB10" s="58" t="n">
        <f aca="false">AB8*AB9</f>
        <v>867235640.2539</v>
      </c>
      <c r="AC10" s="58" t="n">
        <f aca="false">AC8*AC9</f>
        <v>1734471280.5078</v>
      </c>
      <c r="AD10" s="58" t="n">
        <f aca="false">AD8*AD9</f>
        <v>1951280190.57128</v>
      </c>
      <c r="AE10" s="58" t="n">
        <f aca="false">AE8*AE9</f>
        <v>2168089100.63475</v>
      </c>
      <c r="AF10" s="58" t="n">
        <f aca="false">AF8*AF9</f>
        <v>2168089100.63475</v>
      </c>
      <c r="AG10" s="58" t="n">
        <f aca="false">AG8*AG9</f>
        <v>2168089100.63475</v>
      </c>
      <c r="AH10" s="58" t="n">
        <f aca="false">AH8*AH9</f>
        <v>2168089100.63475</v>
      </c>
      <c r="AI10" s="58" t="n">
        <f aca="false">AI8*AI9</f>
        <v>2168089100.63475</v>
      </c>
      <c r="AJ10" s="58" t="n">
        <f aca="false">AJ8*AJ9</f>
        <v>2168089100.63475</v>
      </c>
      <c r="AK10" s="58" t="n">
        <f aca="false">AK8*AK9</f>
        <v>1951280190.57128</v>
      </c>
      <c r="AL10" s="58" t="n">
        <f aca="false">AL8*AL9</f>
        <v>1517662370.44433</v>
      </c>
      <c r="AM10" s="58" t="n">
        <f aca="false">AM8*AM9</f>
        <v>867235640.2539</v>
      </c>
      <c r="AN10" s="58" t="n">
        <f aca="false">AN8*AN9</f>
        <v>1156314187.0052</v>
      </c>
      <c r="AO10" s="58" t="n">
        <f aca="false">AO8*AO9</f>
        <v>2312628374.0104</v>
      </c>
      <c r="AP10" s="58" t="n">
        <f aca="false">AP8*AP9</f>
        <v>2601706920.7617</v>
      </c>
      <c r="AQ10" s="58" t="n">
        <f aca="false">AQ8*AQ9</f>
        <v>2890785467.513</v>
      </c>
      <c r="AR10" s="58" t="n">
        <f aca="false">AR8*AR9</f>
        <v>2890785467.513</v>
      </c>
      <c r="AS10" s="58" t="n">
        <f aca="false">AS8*AS9</f>
        <v>2890785467.513</v>
      </c>
      <c r="AT10" s="58" t="n">
        <f aca="false">AT8*AT9</f>
        <v>2890785467.513</v>
      </c>
      <c r="AU10" s="58" t="n">
        <f aca="false">AU8*AU9</f>
        <v>2890785467.513</v>
      </c>
      <c r="AV10" s="58" t="n">
        <f aca="false">AV8*AV9</f>
        <v>2890785467.513</v>
      </c>
      <c r="AW10" s="58" t="n">
        <f aca="false">AW8*AW9</f>
        <v>2601706920.7617</v>
      </c>
      <c r="AX10" s="58" t="n">
        <f aca="false">AX8*AX9</f>
        <v>2023549827.2591</v>
      </c>
      <c r="AY10" s="58" t="n">
        <f aca="false">AY8*AY9</f>
        <v>867235640.2539</v>
      </c>
      <c r="AZ10" s="58" t="n">
        <f aca="false">AZ8*AZ9</f>
        <v>1156314187.0052</v>
      </c>
      <c r="BA10" s="58" t="n">
        <f aca="false">BA8*BA9</f>
        <v>2312628374.0104</v>
      </c>
      <c r="BB10" s="58" t="n">
        <f aca="false">BB8*BB9</f>
        <v>2601706920.7617</v>
      </c>
      <c r="BC10" s="58" t="n">
        <f aca="false">BC8*BC9</f>
        <v>2890785467.513</v>
      </c>
      <c r="BD10" s="58" t="n">
        <f aca="false">BD8*BD9</f>
        <v>2890785467.513</v>
      </c>
      <c r="BE10" s="58" t="n">
        <f aca="false">BE8*BE9</f>
        <v>2890785467.513</v>
      </c>
      <c r="BF10" s="58" t="n">
        <f aca="false">BF8*BF9</f>
        <v>2890785467.513</v>
      </c>
      <c r="BG10" s="58" t="n">
        <f aca="false">BG8*BG9</f>
        <v>2890785467.513</v>
      </c>
      <c r="BH10" s="58" t="n">
        <f aca="false">BH8*BH9</f>
        <v>2890785467.513</v>
      </c>
      <c r="BI10" s="58" t="n">
        <f aca="false">BI8*BI9</f>
        <v>2601706920.7617</v>
      </c>
      <c r="BJ10" s="58" t="n">
        <f aca="false">BJ8*BJ9</f>
        <v>2023549827.2591</v>
      </c>
      <c r="BK10" s="58" t="n">
        <f aca="false">BK8*BK9</f>
        <v>867235640.2539</v>
      </c>
      <c r="BL10" s="58" t="n">
        <f aca="false">BL8*BL9</f>
        <v>1156314187.0052</v>
      </c>
      <c r="BM10" s="58" t="n">
        <f aca="false">BM8*BM9</f>
        <v>2312628374.0104</v>
      </c>
      <c r="BN10" s="58" t="n">
        <f aca="false">BN8*BN9</f>
        <v>2601706920.7617</v>
      </c>
      <c r="BO10" s="58" t="n">
        <f aca="false">BO8*BO9</f>
        <v>2890785467.513</v>
      </c>
      <c r="BP10" s="58" t="n">
        <f aca="false">BP8*BP9</f>
        <v>2890785467.513</v>
      </c>
      <c r="BQ10" s="58" t="n">
        <f aca="false">BQ8*BQ9</f>
        <v>2890785467.513</v>
      </c>
      <c r="BR10" s="58" t="n">
        <f aca="false">BR8*BR9</f>
        <v>2890785467.513</v>
      </c>
      <c r="BS10" s="58" t="n">
        <f aca="false">BS8*BS9</f>
        <v>2890785467.513</v>
      </c>
      <c r="BT10" s="58" t="n">
        <f aca="false">BT8*BT9</f>
        <v>2890785467.513</v>
      </c>
      <c r="BU10" s="58" t="n">
        <f aca="false">BU8*BU9</f>
        <v>2601706920.7617</v>
      </c>
      <c r="BV10" s="58" t="n">
        <f aca="false">BV8*BV9</f>
        <v>2023549827.2591</v>
      </c>
      <c r="BW10" s="58" t="n">
        <f aca="false">BW8*BW9</f>
        <v>867235640.2539</v>
      </c>
      <c r="BX10" s="58" t="n">
        <f aca="false">BX8*BX9</f>
        <v>1156314187.0052</v>
      </c>
      <c r="BY10" s="58" t="n">
        <f aca="false">BY8*BY9</f>
        <v>2312628374.0104</v>
      </c>
      <c r="BZ10" s="58" t="n">
        <f aca="false">BZ8*BZ9</f>
        <v>2601706920.7617</v>
      </c>
      <c r="CA10" s="58" t="n">
        <f aca="false">CA8*CA9</f>
        <v>2890785467.513</v>
      </c>
      <c r="CB10" s="58" t="n">
        <f aca="false">CB8*CB9</f>
        <v>2890785467.513</v>
      </c>
      <c r="CC10" s="58" t="n">
        <f aca="false">CC8*CC9</f>
        <v>2890785467.513</v>
      </c>
      <c r="CD10" s="58" t="n">
        <f aca="false">CD8*CD9</f>
        <v>2890785467.513</v>
      </c>
      <c r="CE10" s="58" t="n">
        <f aca="false">CE8*CE9</f>
        <v>2890785467.513</v>
      </c>
      <c r="CF10" s="58" t="n">
        <f aca="false">CF8*CF9</f>
        <v>2890785467.513</v>
      </c>
      <c r="CG10" s="58" t="n">
        <f aca="false">CG8*CG9</f>
        <v>2601706920.7617</v>
      </c>
      <c r="CH10" s="58" t="n">
        <f aca="false">CH8*CH9</f>
        <v>2023549827.2591</v>
      </c>
      <c r="CI10" s="58" t="n">
        <f aca="false">CI8*CI9</f>
        <v>867235640.2539</v>
      </c>
      <c r="CJ10" s="58" t="n">
        <f aca="false">CJ8*CJ9</f>
        <v>1156314187.0052</v>
      </c>
      <c r="CK10" s="58" t="n">
        <f aca="false">CK8*CK9</f>
        <v>2312628374.0104</v>
      </c>
      <c r="CL10" s="58" t="n">
        <f aca="false">CL8*CL9</f>
        <v>2601706920.7617</v>
      </c>
      <c r="CM10" s="58" t="n">
        <f aca="false">CM8*CM9</f>
        <v>2890785467.513</v>
      </c>
      <c r="CN10" s="58" t="n">
        <f aca="false">CN8*CN9</f>
        <v>2890785467.513</v>
      </c>
      <c r="CO10" s="58" t="n">
        <f aca="false">CO8*CO9</f>
        <v>2890785467.513</v>
      </c>
      <c r="CP10" s="58" t="n">
        <f aca="false">CP8*CP9</f>
        <v>2890785467.513</v>
      </c>
      <c r="CQ10" s="58" t="n">
        <f aca="false">CQ8*CQ9</f>
        <v>2890785467.513</v>
      </c>
      <c r="CR10" s="58" t="n">
        <f aca="false">CR8*CR9</f>
        <v>2890785467.513</v>
      </c>
      <c r="CS10" s="58" t="n">
        <f aca="false">CS8*CS9</f>
        <v>2601706920.7617</v>
      </c>
      <c r="CT10" s="58" t="n">
        <f aca="false">CT8*CT9</f>
        <v>2023549827.2591</v>
      </c>
    </row>
    <row r="11" customFormat="false" ht="15" hidden="false" customHeight="true" outlineLevel="0" collapsed="false">
      <c r="B11" s="19" t="s">
        <v>658</v>
      </c>
      <c r="C11" s="57" t="n">
        <f aca="false">C8-C10</f>
        <v>1517662370.44433</v>
      </c>
      <c r="D11" s="57" t="n">
        <f aca="false">D8-D10</f>
        <v>2023549827.2591</v>
      </c>
      <c r="E11" s="57" t="n">
        <f aca="false">E8-E10</f>
        <v>4047099654.5182</v>
      </c>
      <c r="F11" s="57" t="n">
        <f aca="false">F8-F10</f>
        <v>4552987111.33298</v>
      </c>
      <c r="G11" s="57" t="n">
        <f aca="false">G8-G10</f>
        <v>5058874568.14775</v>
      </c>
      <c r="H11" s="57" t="n">
        <f aca="false">H8-H10</f>
        <v>5058874568.14775</v>
      </c>
      <c r="I11" s="57" t="n">
        <f aca="false">I8-I10</f>
        <v>5058874568.14775</v>
      </c>
      <c r="J11" s="57" t="n">
        <f aca="false">J8-J10</f>
        <v>5058874568.14775</v>
      </c>
      <c r="K11" s="57" t="n">
        <f aca="false">K8-K10</f>
        <v>5058874568.14775</v>
      </c>
      <c r="L11" s="57" t="n">
        <f aca="false">L8-L10</f>
        <v>5058874568.14775</v>
      </c>
      <c r="M11" s="57" t="n">
        <f aca="false">M8-M10</f>
        <v>4552987111.33298</v>
      </c>
      <c r="N11" s="57" t="n">
        <f aca="false">N8-N10</f>
        <v>3541212197.70343</v>
      </c>
      <c r="O11" s="57" t="n">
        <f aca="false">O8-O10</f>
        <v>1300853460.38085</v>
      </c>
      <c r="P11" s="57" t="n">
        <f aca="false">P8-P10</f>
        <v>1734471280.5078</v>
      </c>
      <c r="Q11" s="57" t="n">
        <f aca="false">Q8-Q10</f>
        <v>3468942561.0156</v>
      </c>
      <c r="R11" s="57" t="n">
        <f aca="false">R8-R10</f>
        <v>3902560381.14255</v>
      </c>
      <c r="S11" s="57" t="n">
        <f aca="false">S8-S10</f>
        <v>4336178201.2695</v>
      </c>
      <c r="T11" s="57" t="n">
        <f aca="false">T8-T10</f>
        <v>4336178201.2695</v>
      </c>
      <c r="U11" s="57" t="n">
        <f aca="false">U8-U10</f>
        <v>4336178201.2695</v>
      </c>
      <c r="V11" s="57" t="n">
        <f aca="false">V8-V10</f>
        <v>4336178201.2695</v>
      </c>
      <c r="W11" s="57" t="n">
        <f aca="false">W8-W10</f>
        <v>4336178201.2695</v>
      </c>
      <c r="X11" s="57" t="n">
        <f aca="false">X8-X10</f>
        <v>4336178201.2695</v>
      </c>
      <c r="Y11" s="57" t="n">
        <f aca="false">Y8-Y10</f>
        <v>3902560381.14255</v>
      </c>
      <c r="Z11" s="57" t="n">
        <f aca="false">Z8-Z10</f>
        <v>3035324740.88865</v>
      </c>
      <c r="AA11" s="57" t="n">
        <f aca="false">AA8-AA10</f>
        <v>1084044550.31738</v>
      </c>
      <c r="AB11" s="57" t="n">
        <f aca="false">AB8-AB10</f>
        <v>1445392733.7565</v>
      </c>
      <c r="AC11" s="57" t="n">
        <f aca="false">AC8-AC10</f>
        <v>2890785467.513</v>
      </c>
      <c r="AD11" s="57" t="n">
        <f aca="false">AD8-AD10</f>
        <v>3252133650.95213</v>
      </c>
      <c r="AE11" s="57" t="n">
        <f aca="false">AE8-AE10</f>
        <v>3613481834.39125</v>
      </c>
      <c r="AF11" s="57" t="n">
        <f aca="false">AF8-AF10</f>
        <v>3613481834.39125</v>
      </c>
      <c r="AG11" s="57" t="n">
        <f aca="false">AG8-AG10</f>
        <v>3613481834.39125</v>
      </c>
      <c r="AH11" s="57" t="n">
        <f aca="false">AH8-AH10</f>
        <v>3613481834.39125</v>
      </c>
      <c r="AI11" s="57" t="n">
        <f aca="false">AI8-AI10</f>
        <v>3613481834.39125</v>
      </c>
      <c r="AJ11" s="57" t="n">
        <f aca="false">AJ8-AJ10</f>
        <v>3613481834.39125</v>
      </c>
      <c r="AK11" s="57" t="n">
        <f aca="false">AK8-AK10</f>
        <v>3252133650.95213</v>
      </c>
      <c r="AL11" s="57" t="n">
        <f aca="false">AL8-AL10</f>
        <v>2529437284.07388</v>
      </c>
      <c r="AM11" s="57" t="n">
        <f aca="false">AM8-AM10</f>
        <v>867235640.2539</v>
      </c>
      <c r="AN11" s="57" t="n">
        <f aca="false">AN8-AN10</f>
        <v>1156314187.0052</v>
      </c>
      <c r="AO11" s="57" t="n">
        <f aca="false">AO8-AO10</f>
        <v>2312628374.0104</v>
      </c>
      <c r="AP11" s="57" t="n">
        <f aca="false">AP8-AP10</f>
        <v>2601706920.7617</v>
      </c>
      <c r="AQ11" s="57" t="n">
        <f aca="false">AQ8-AQ10</f>
        <v>2890785467.513</v>
      </c>
      <c r="AR11" s="57" t="n">
        <f aca="false">AR8-AR10</f>
        <v>2890785467.513</v>
      </c>
      <c r="AS11" s="57" t="n">
        <f aca="false">AS8-AS10</f>
        <v>2890785467.513</v>
      </c>
      <c r="AT11" s="57" t="n">
        <f aca="false">AT8-AT10</f>
        <v>2890785467.513</v>
      </c>
      <c r="AU11" s="57" t="n">
        <f aca="false">AU8-AU10</f>
        <v>2890785467.513</v>
      </c>
      <c r="AV11" s="57" t="n">
        <f aca="false">AV8-AV10</f>
        <v>2890785467.513</v>
      </c>
      <c r="AW11" s="57" t="n">
        <f aca="false">AW8-AW10</f>
        <v>2601706920.7617</v>
      </c>
      <c r="AX11" s="57" t="n">
        <f aca="false">AX8-AX10</f>
        <v>2023549827.2591</v>
      </c>
      <c r="AY11" s="57" t="n">
        <f aca="false">AY8-AY10</f>
        <v>867235640.2539</v>
      </c>
      <c r="AZ11" s="57" t="n">
        <f aca="false">AZ8-AZ10</f>
        <v>1156314187.0052</v>
      </c>
      <c r="BA11" s="57" t="n">
        <f aca="false">BA8-BA10</f>
        <v>2312628374.0104</v>
      </c>
      <c r="BB11" s="57" t="n">
        <f aca="false">BB8-BB10</f>
        <v>2601706920.7617</v>
      </c>
      <c r="BC11" s="57" t="n">
        <f aca="false">BC8-BC10</f>
        <v>2890785467.513</v>
      </c>
      <c r="BD11" s="57" t="n">
        <f aca="false">BD8-BD10</f>
        <v>2890785467.513</v>
      </c>
      <c r="BE11" s="57" t="n">
        <f aca="false">BE8-BE10</f>
        <v>2890785467.513</v>
      </c>
      <c r="BF11" s="57" t="n">
        <f aca="false">BF8-BF10</f>
        <v>2890785467.513</v>
      </c>
      <c r="BG11" s="57" t="n">
        <f aca="false">BG8-BG10</f>
        <v>2890785467.513</v>
      </c>
      <c r="BH11" s="57" t="n">
        <f aca="false">BH8-BH10</f>
        <v>2890785467.513</v>
      </c>
      <c r="BI11" s="57" t="n">
        <f aca="false">BI8-BI10</f>
        <v>2601706920.7617</v>
      </c>
      <c r="BJ11" s="57" t="n">
        <f aca="false">BJ8-BJ10</f>
        <v>2023549827.2591</v>
      </c>
      <c r="BK11" s="57" t="n">
        <f aca="false">BK8-BK10</f>
        <v>867235640.2539</v>
      </c>
      <c r="BL11" s="57" t="n">
        <f aca="false">BL8-BL10</f>
        <v>1156314187.0052</v>
      </c>
      <c r="BM11" s="57" t="n">
        <f aca="false">BM8-BM10</f>
        <v>2312628374.0104</v>
      </c>
      <c r="BN11" s="57" t="n">
        <f aca="false">BN8-BN10</f>
        <v>2601706920.7617</v>
      </c>
      <c r="BO11" s="57" t="n">
        <f aca="false">BO8-BO10</f>
        <v>2890785467.513</v>
      </c>
      <c r="BP11" s="57" t="n">
        <f aca="false">BP8-BP10</f>
        <v>2890785467.513</v>
      </c>
      <c r="BQ11" s="57" t="n">
        <f aca="false">BQ8-BQ10</f>
        <v>2890785467.513</v>
      </c>
      <c r="BR11" s="57" t="n">
        <f aca="false">BR8-BR10</f>
        <v>2890785467.513</v>
      </c>
      <c r="BS11" s="57" t="n">
        <f aca="false">BS8-BS10</f>
        <v>2890785467.513</v>
      </c>
      <c r="BT11" s="57" t="n">
        <f aca="false">BT8-BT10</f>
        <v>2890785467.513</v>
      </c>
      <c r="BU11" s="57" t="n">
        <f aca="false">BU8-BU10</f>
        <v>2601706920.7617</v>
      </c>
      <c r="BV11" s="57" t="n">
        <f aca="false">BV8-BV10</f>
        <v>2023549827.2591</v>
      </c>
      <c r="BW11" s="57" t="n">
        <f aca="false">BW8-BW10</f>
        <v>867235640.2539</v>
      </c>
      <c r="BX11" s="57" t="n">
        <f aca="false">BX8-BX10</f>
        <v>1156314187.0052</v>
      </c>
      <c r="BY11" s="57" t="n">
        <f aca="false">BY8-BY10</f>
        <v>2312628374.0104</v>
      </c>
      <c r="BZ11" s="57" t="n">
        <f aca="false">BZ8-BZ10</f>
        <v>2601706920.7617</v>
      </c>
      <c r="CA11" s="57" t="n">
        <f aca="false">CA8-CA10</f>
        <v>2890785467.513</v>
      </c>
      <c r="CB11" s="57" t="n">
        <f aca="false">CB8-CB10</f>
        <v>2890785467.513</v>
      </c>
      <c r="CC11" s="57" t="n">
        <f aca="false">CC8-CC10</f>
        <v>2890785467.513</v>
      </c>
      <c r="CD11" s="57" t="n">
        <f aca="false">CD8-CD10</f>
        <v>2890785467.513</v>
      </c>
      <c r="CE11" s="57" t="n">
        <f aca="false">CE8-CE10</f>
        <v>2890785467.513</v>
      </c>
      <c r="CF11" s="57" t="n">
        <f aca="false">CF8-CF10</f>
        <v>2890785467.513</v>
      </c>
      <c r="CG11" s="57" t="n">
        <f aca="false">CG8-CG10</f>
        <v>2601706920.7617</v>
      </c>
      <c r="CH11" s="57" t="n">
        <f aca="false">CH8-CH10</f>
        <v>2023549827.2591</v>
      </c>
      <c r="CI11" s="57" t="n">
        <f aca="false">CI8-CI10</f>
        <v>867235640.2539</v>
      </c>
      <c r="CJ11" s="57" t="n">
        <f aca="false">CJ8-CJ10</f>
        <v>1156314187.0052</v>
      </c>
      <c r="CK11" s="57" t="n">
        <f aca="false">CK8-CK10</f>
        <v>2312628374.0104</v>
      </c>
      <c r="CL11" s="57" t="n">
        <f aca="false">CL8-CL10</f>
        <v>2601706920.7617</v>
      </c>
      <c r="CM11" s="57" t="n">
        <f aca="false">CM8-CM10</f>
        <v>2890785467.513</v>
      </c>
      <c r="CN11" s="57" t="n">
        <f aca="false">CN8-CN10</f>
        <v>2890785467.513</v>
      </c>
      <c r="CO11" s="57" t="n">
        <f aca="false">CO8-CO10</f>
        <v>2890785467.513</v>
      </c>
      <c r="CP11" s="57" t="n">
        <f aca="false">CP8-CP10</f>
        <v>2890785467.513</v>
      </c>
      <c r="CQ11" s="57" t="n">
        <f aca="false">CQ8-CQ10</f>
        <v>2890785467.513</v>
      </c>
      <c r="CR11" s="57" t="n">
        <f aca="false">CR8-CR10</f>
        <v>2890785467.513</v>
      </c>
      <c r="CS11" s="57" t="n">
        <f aca="false">CS8-CS10</f>
        <v>2601706920.7617</v>
      </c>
      <c r="CT11" s="57" t="n">
        <f aca="false">CT8-CT10</f>
        <v>2023549827.2591</v>
      </c>
    </row>
    <row r="12" customFormat="false" ht="27" hidden="false" customHeight="true" outlineLevel="0" collapsed="false">
      <c r="B12" s="14" t="s">
        <v>659</v>
      </c>
      <c r="C12" s="57" t="n">
        <f aca="false">C10*Supuestos!$C$185</f>
        <v>3252133.65095213</v>
      </c>
      <c r="D12" s="57" t="n">
        <f aca="false">D10*Supuestos!$C$185</f>
        <v>4336178.2012695</v>
      </c>
      <c r="E12" s="57" t="n">
        <f aca="false">E10*Supuestos!$C$185</f>
        <v>8672356.402539</v>
      </c>
      <c r="F12" s="57" t="n">
        <f aca="false">F10*Supuestos!$C$185</f>
        <v>9756400.95285638</v>
      </c>
      <c r="G12" s="57" t="n">
        <f aca="false">G10*Supuestos!$C$185</f>
        <v>10840445.5031738</v>
      </c>
      <c r="H12" s="57" t="n">
        <f aca="false">H10*Supuestos!$C$185</f>
        <v>10840445.5031738</v>
      </c>
      <c r="I12" s="57" t="n">
        <f aca="false">I10*Supuestos!$C$185</f>
        <v>10840445.5031738</v>
      </c>
      <c r="J12" s="57" t="n">
        <f aca="false">J10*Supuestos!$C$185</f>
        <v>10840445.5031738</v>
      </c>
      <c r="K12" s="57" t="n">
        <f aca="false">K10*Supuestos!$C$185</f>
        <v>10840445.5031738</v>
      </c>
      <c r="L12" s="57" t="n">
        <f aca="false">L10*Supuestos!$C$185</f>
        <v>10840445.5031738</v>
      </c>
      <c r="M12" s="57" t="n">
        <f aca="false">M10*Supuestos!$C$185</f>
        <v>9756400.95285638</v>
      </c>
      <c r="N12" s="57" t="n">
        <f aca="false">N10*Supuestos!$C$185</f>
        <v>7588311.85222163</v>
      </c>
      <c r="O12" s="57" t="n">
        <f aca="false">O10*Supuestos!$C$185</f>
        <v>6504267.30190425</v>
      </c>
      <c r="P12" s="57" t="n">
        <f aca="false">P10*Supuestos!$C$185</f>
        <v>8672356.402539</v>
      </c>
      <c r="Q12" s="57" t="n">
        <f aca="false">Q10*Supuestos!$C$185</f>
        <v>17344712.805078</v>
      </c>
      <c r="R12" s="57" t="n">
        <f aca="false">R10*Supuestos!$C$185</f>
        <v>19512801.9057128</v>
      </c>
      <c r="S12" s="57" t="n">
        <f aca="false">S10*Supuestos!$C$185</f>
        <v>21680891.0063475</v>
      </c>
      <c r="T12" s="57" t="n">
        <f aca="false">T10*Supuestos!$C$185</f>
        <v>21680891.0063475</v>
      </c>
      <c r="U12" s="57" t="n">
        <f aca="false">U10*Supuestos!$C$185</f>
        <v>21680891.0063475</v>
      </c>
      <c r="V12" s="57" t="n">
        <f aca="false">V10*Supuestos!$C$185</f>
        <v>21680891.0063475</v>
      </c>
      <c r="W12" s="57" t="n">
        <f aca="false">W10*Supuestos!$C$185</f>
        <v>21680891.0063475</v>
      </c>
      <c r="X12" s="57" t="n">
        <f aca="false">X10*Supuestos!$C$185</f>
        <v>21680891.0063475</v>
      </c>
      <c r="Y12" s="57" t="n">
        <f aca="false">Y10*Supuestos!$C$185</f>
        <v>19512801.9057128</v>
      </c>
      <c r="Z12" s="57" t="n">
        <f aca="false">Z10*Supuestos!$C$185</f>
        <v>15176623.7044433</v>
      </c>
      <c r="AA12" s="57" t="n">
        <f aca="false">AA10*Supuestos!$C$185</f>
        <v>9756400.95285638</v>
      </c>
      <c r="AB12" s="57" t="n">
        <f aca="false">AB10*Supuestos!$C$185</f>
        <v>13008534.6038085</v>
      </c>
      <c r="AC12" s="57" t="n">
        <f aca="false">AC10*Supuestos!$C$185</f>
        <v>26017069.207617</v>
      </c>
      <c r="AD12" s="57" t="n">
        <f aca="false">AD10*Supuestos!$C$185</f>
        <v>29269202.8585691</v>
      </c>
      <c r="AE12" s="57" t="n">
        <f aca="false">AE10*Supuestos!$C$185</f>
        <v>32521336.5095213</v>
      </c>
      <c r="AF12" s="57" t="n">
        <f aca="false">AF10*Supuestos!$C$185</f>
        <v>32521336.5095213</v>
      </c>
      <c r="AG12" s="57" t="n">
        <f aca="false">AG10*Supuestos!$C$185</f>
        <v>32521336.5095213</v>
      </c>
      <c r="AH12" s="57" t="n">
        <f aca="false">AH10*Supuestos!$C$185</f>
        <v>32521336.5095213</v>
      </c>
      <c r="AI12" s="57" t="n">
        <f aca="false">AI10*Supuestos!$C$185</f>
        <v>32521336.5095213</v>
      </c>
      <c r="AJ12" s="57" t="n">
        <f aca="false">AJ10*Supuestos!$C$185</f>
        <v>32521336.5095213</v>
      </c>
      <c r="AK12" s="57" t="n">
        <f aca="false">AK10*Supuestos!$C$185</f>
        <v>29269202.8585691</v>
      </c>
      <c r="AL12" s="57" t="n">
        <f aca="false">AL10*Supuestos!$C$185</f>
        <v>22764935.5566649</v>
      </c>
      <c r="AM12" s="57" t="n">
        <f aca="false">AM10*Supuestos!$C$185</f>
        <v>13008534.6038085</v>
      </c>
      <c r="AN12" s="57" t="n">
        <f aca="false">AN10*Supuestos!$C$185</f>
        <v>17344712.805078</v>
      </c>
      <c r="AO12" s="57" t="n">
        <f aca="false">AO10*Supuestos!$C$185</f>
        <v>34689425.610156</v>
      </c>
      <c r="AP12" s="57" t="n">
        <f aca="false">AP10*Supuestos!$C$185</f>
        <v>39025603.8114255</v>
      </c>
      <c r="AQ12" s="57" t="n">
        <f aca="false">AQ10*Supuestos!$C$185</f>
        <v>43361782.012695</v>
      </c>
      <c r="AR12" s="57" t="n">
        <f aca="false">AR10*Supuestos!$C$185</f>
        <v>43361782.012695</v>
      </c>
      <c r="AS12" s="57" t="n">
        <f aca="false">AS10*Supuestos!$C$185</f>
        <v>43361782.012695</v>
      </c>
      <c r="AT12" s="57" t="n">
        <f aca="false">AT10*Supuestos!$C$185</f>
        <v>43361782.012695</v>
      </c>
      <c r="AU12" s="57" t="n">
        <f aca="false">AU10*Supuestos!$C$185</f>
        <v>43361782.012695</v>
      </c>
      <c r="AV12" s="57" t="n">
        <f aca="false">AV10*Supuestos!$C$185</f>
        <v>43361782.012695</v>
      </c>
      <c r="AW12" s="57" t="n">
        <f aca="false">AW10*Supuestos!$C$185</f>
        <v>39025603.8114255</v>
      </c>
      <c r="AX12" s="57" t="n">
        <f aca="false">AX10*Supuestos!$C$185</f>
        <v>30353247.4088865</v>
      </c>
      <c r="AY12" s="57" t="n">
        <f aca="false">AY10*Supuestos!$C$185</f>
        <v>13008534.6038085</v>
      </c>
      <c r="AZ12" s="57" t="n">
        <f aca="false">AZ10*Supuestos!$C$185</f>
        <v>17344712.805078</v>
      </c>
      <c r="BA12" s="57" t="n">
        <f aca="false">BA10*Supuestos!$C$185</f>
        <v>34689425.610156</v>
      </c>
      <c r="BB12" s="57" t="n">
        <f aca="false">BB10*Supuestos!$C$185</f>
        <v>39025603.8114255</v>
      </c>
      <c r="BC12" s="57" t="n">
        <f aca="false">BC10*Supuestos!$C$185</f>
        <v>43361782.012695</v>
      </c>
      <c r="BD12" s="57" t="n">
        <f aca="false">BD10*Supuestos!$C$185</f>
        <v>43361782.012695</v>
      </c>
      <c r="BE12" s="57" t="n">
        <f aca="false">BE10*Supuestos!$C$185</f>
        <v>43361782.012695</v>
      </c>
      <c r="BF12" s="57" t="n">
        <f aca="false">BF10*Supuestos!$C$185</f>
        <v>43361782.012695</v>
      </c>
      <c r="BG12" s="57" t="n">
        <f aca="false">BG10*Supuestos!$C$185</f>
        <v>43361782.012695</v>
      </c>
      <c r="BH12" s="57" t="n">
        <f aca="false">BH10*Supuestos!$C$185</f>
        <v>43361782.012695</v>
      </c>
      <c r="BI12" s="57" t="n">
        <f aca="false">BI10*Supuestos!$C$185</f>
        <v>39025603.8114255</v>
      </c>
      <c r="BJ12" s="57" t="n">
        <f aca="false">BJ10*Supuestos!$C$185</f>
        <v>30353247.4088865</v>
      </c>
      <c r="BK12" s="57" t="n">
        <f aca="false">BK10*Supuestos!$C$185</f>
        <v>13008534.6038085</v>
      </c>
      <c r="BL12" s="57" t="n">
        <f aca="false">BL10*Supuestos!$C$185</f>
        <v>17344712.805078</v>
      </c>
      <c r="BM12" s="57" t="n">
        <f aca="false">BM10*Supuestos!$C$185</f>
        <v>34689425.610156</v>
      </c>
      <c r="BN12" s="57" t="n">
        <f aca="false">BN10*Supuestos!$C$185</f>
        <v>39025603.8114255</v>
      </c>
      <c r="BO12" s="57" t="n">
        <f aca="false">BO10*Supuestos!$C$185</f>
        <v>43361782.012695</v>
      </c>
      <c r="BP12" s="57" t="n">
        <f aca="false">BP10*Supuestos!$C$185</f>
        <v>43361782.012695</v>
      </c>
      <c r="BQ12" s="57" t="n">
        <f aca="false">BQ10*Supuestos!$C$185</f>
        <v>43361782.012695</v>
      </c>
      <c r="BR12" s="57" t="n">
        <f aca="false">BR10*Supuestos!$C$185</f>
        <v>43361782.012695</v>
      </c>
      <c r="BS12" s="57" t="n">
        <f aca="false">BS10*Supuestos!$C$185</f>
        <v>43361782.012695</v>
      </c>
      <c r="BT12" s="57" t="n">
        <f aca="false">BT10*Supuestos!$C$185</f>
        <v>43361782.012695</v>
      </c>
      <c r="BU12" s="57" t="n">
        <f aca="false">BU10*Supuestos!$C$185</f>
        <v>39025603.8114255</v>
      </c>
      <c r="BV12" s="57" t="n">
        <f aca="false">BV10*Supuestos!$C$185</f>
        <v>30353247.4088865</v>
      </c>
      <c r="BW12" s="57" t="n">
        <f aca="false">BW10*Supuestos!$C$185</f>
        <v>13008534.6038085</v>
      </c>
      <c r="BX12" s="57" t="n">
        <f aca="false">BX10*Supuestos!$C$185</f>
        <v>17344712.805078</v>
      </c>
      <c r="BY12" s="57" t="n">
        <f aca="false">BY10*Supuestos!$C$185</f>
        <v>34689425.610156</v>
      </c>
      <c r="BZ12" s="57" t="n">
        <f aca="false">BZ10*Supuestos!$C$185</f>
        <v>39025603.8114255</v>
      </c>
      <c r="CA12" s="57" t="n">
        <f aca="false">CA10*Supuestos!$C$185</f>
        <v>43361782.012695</v>
      </c>
      <c r="CB12" s="57" t="n">
        <f aca="false">CB10*Supuestos!$C$185</f>
        <v>43361782.012695</v>
      </c>
      <c r="CC12" s="57" t="n">
        <f aca="false">CC10*Supuestos!$C$185</f>
        <v>43361782.012695</v>
      </c>
      <c r="CD12" s="57" t="n">
        <f aca="false">CD10*Supuestos!$C$185</f>
        <v>43361782.012695</v>
      </c>
      <c r="CE12" s="57" t="n">
        <f aca="false">CE10*Supuestos!$C$185</f>
        <v>43361782.012695</v>
      </c>
      <c r="CF12" s="57" t="n">
        <f aca="false">CF10*Supuestos!$C$185</f>
        <v>43361782.012695</v>
      </c>
      <c r="CG12" s="57" t="n">
        <f aca="false">CG10*Supuestos!$C$185</f>
        <v>39025603.8114255</v>
      </c>
      <c r="CH12" s="57" t="n">
        <f aca="false">CH10*Supuestos!$C$185</f>
        <v>30353247.4088865</v>
      </c>
      <c r="CI12" s="57" t="n">
        <f aca="false">CI10*Supuestos!$C$185</f>
        <v>13008534.6038085</v>
      </c>
      <c r="CJ12" s="57" t="n">
        <f aca="false">CJ10*Supuestos!$C$185</f>
        <v>17344712.805078</v>
      </c>
      <c r="CK12" s="57" t="n">
        <f aca="false">CK10*Supuestos!$C$185</f>
        <v>34689425.610156</v>
      </c>
      <c r="CL12" s="57" t="n">
        <f aca="false">CL10*Supuestos!$C$185</f>
        <v>39025603.8114255</v>
      </c>
      <c r="CM12" s="57" t="n">
        <f aca="false">CM10*Supuestos!$C$185</f>
        <v>43361782.012695</v>
      </c>
      <c r="CN12" s="57" t="n">
        <f aca="false">CN10*Supuestos!$C$185</f>
        <v>43361782.012695</v>
      </c>
      <c r="CO12" s="57" t="n">
        <f aca="false">CO10*Supuestos!$C$185</f>
        <v>43361782.012695</v>
      </c>
      <c r="CP12" s="57" t="n">
        <f aca="false">CP10*Supuestos!$C$185</f>
        <v>43361782.012695</v>
      </c>
      <c r="CQ12" s="57" t="n">
        <f aca="false">CQ10*Supuestos!$C$185</f>
        <v>43361782.012695</v>
      </c>
      <c r="CR12" s="57" t="n">
        <f aca="false">CR10*Supuestos!$C$185</f>
        <v>43361782.012695</v>
      </c>
      <c r="CS12" s="57" t="n">
        <f aca="false">CS10*Supuestos!$C$185</f>
        <v>39025603.8114255</v>
      </c>
      <c r="CT12" s="57" t="n">
        <f aca="false">CT10*Supuestos!$C$185</f>
        <v>30353247.4088865</v>
      </c>
    </row>
    <row r="14" customFormat="false" ht="15" hidden="false" customHeight="true" outlineLevel="0" collapsed="false">
      <c r="B14" s="56" t="s">
        <v>660</v>
      </c>
      <c r="C14" s="64"/>
      <c r="D14" s="64"/>
      <c r="E14" s="64"/>
      <c r="F14" s="64"/>
      <c r="G14" s="64"/>
      <c r="H14" s="64"/>
      <c r="I14" s="64"/>
      <c r="J14" s="64"/>
      <c r="K14" s="64"/>
    </row>
    <row r="15" customFormat="false" ht="34.5" hidden="false" customHeight="true" outlineLevel="0" collapsed="false">
      <c r="B15" s="72" t="s">
        <v>661</v>
      </c>
      <c r="C15" s="72" t="s">
        <v>662</v>
      </c>
      <c r="D15" s="72" t="s">
        <v>663</v>
      </c>
      <c r="E15" s="72" t="s">
        <v>664</v>
      </c>
      <c r="F15" s="72" t="s">
        <v>665</v>
      </c>
      <c r="G15" s="72" t="s">
        <v>666</v>
      </c>
      <c r="H15" s="72" t="s">
        <v>667</v>
      </c>
      <c r="I15" s="72" t="s">
        <v>668</v>
      </c>
      <c r="J15" s="72" t="s">
        <v>669</v>
      </c>
    </row>
    <row r="16" customFormat="false" ht="15" hidden="false" customHeight="true" outlineLevel="0" collapsed="false">
      <c r="B16" s="19" t="s">
        <v>670</v>
      </c>
      <c r="C16" s="73" t="n">
        <v>74832</v>
      </c>
      <c r="D16" s="35" t="n">
        <v>0.340009</v>
      </c>
      <c r="E16" s="35" t="n">
        <v>0.296419</v>
      </c>
      <c r="F16" s="57" t="n">
        <f aca="false">(C10+D10+E10+F10+G10+H10+I10+J10+K10+L10+M10+N10)*$E16</f>
        <v>2142209343.73684</v>
      </c>
      <c r="G16" s="57" t="n">
        <f aca="false">(O10+P10+Q10+R10+S10+T10+U10+V10+W10+X10+Y10+Z10)*$E16</f>
        <v>4284418687.47368</v>
      </c>
      <c r="H16" s="57" t="n">
        <f aca="false">(AA10+AB10+AC10+AD10+AE10+AF10+AG10+AH10+AI10+AJ10+AK10+AL10)*$E16</f>
        <v>6426628031.21052</v>
      </c>
      <c r="I16" s="57" t="n">
        <f aca="false">(AM10+AN10+AO10+AP10+AQ10+AR10+AS10+AT10+AU10+AV10+AW10+AX10)*$E16</f>
        <v>8568837374.94736</v>
      </c>
      <c r="J16" s="58" t="n">
        <f aca="false">(C10+D10+E10+F10+G10+H10+I10+J10+K10+L10+M10+N10+O10+P10+Q10+R10+S10+T10+U10+V10+W10+X10+Y10+Z10+AA10+AB10+AC10+AD10+AE10+AF10+AG10+AH10+AI10+AJ10+AK10+AL10+AM10+AN10+AO10+AP10+AQ10+AR10+AS10+AT10+AU10+AV10+AW10+AX10+AY10+AZ10+BA10+BB10+BC10+BD10+BE10+BF10+BG10+BH10+BI10+BJ10+BK10+BL10+BM10+BN10+BO10+BP10+BQ10+BR10+BS10+BT10+BU10+BV10+BW10+BX10+BY10+BZ10+CA10+CB10+CC10+CD10+CE10+CF10+CG10+CH10+CI10+CJ10+CK10+CL10+CM10+CN10+CO10+CP10+CQ10+CR10+CS10+CT10)*$E16</f>
        <v>55697442937.1578</v>
      </c>
    </row>
    <row r="17" customFormat="false" ht="15" hidden="false" customHeight="true" outlineLevel="0" collapsed="false">
      <c r="B17" s="19" t="s">
        <v>671</v>
      </c>
      <c r="C17" s="73" t="n">
        <v>63719</v>
      </c>
      <c r="D17" s="35" t="n">
        <v>0.330401</v>
      </c>
      <c r="E17" s="35" t="n">
        <v>0.272842</v>
      </c>
      <c r="F17" s="57" t="n">
        <f aca="false">(C10+D10+E10+F10+G10+H10+I10+J10+K10+L10+M10+N10)*$E17</f>
        <v>1971819221.31796</v>
      </c>
      <c r="G17" s="57" t="n">
        <f aca="false">(O10+P10+Q10+R10+S10+T10+U10+V10+W10+X10+Y10+Z10)*$E17</f>
        <v>3943638442.63591</v>
      </c>
      <c r="H17" s="57" t="n">
        <f aca="false">(AA10+AB10+AC10+AD10+AE10+AF10+AG10+AH10+AI10+AJ10+AK10+AL10)*$E17</f>
        <v>5915457663.95386</v>
      </c>
      <c r="I17" s="57" t="n">
        <f aca="false">(AM10+AN10+AO10+AP10+AQ10+AR10+AS10+AT10+AU10+AV10+AW10+AX10)*$E17</f>
        <v>7887276885.27182</v>
      </c>
      <c r="J17" s="58" t="n">
        <f aca="false">(C10+D10+E10+F10+G10+H10+I10+J10+K10+L10+M10+N10+O10+P10+Q10+R10+S10+T10+U10+V10+W10+X10+Y10+Z10+AA10+AB10+AC10+AD10+AE10+AF10+AG10+AH10+AI10+AJ10+AK10+AL10+AM10+AN10+AO10+AP10+AQ10+AR10+AS10+AT10+AU10+AV10+AW10+AX10+AY10+AZ10+BA10+BB10+BC10+BD10+BE10+BF10+BG10+BH10+BI10+BJ10+BK10+BL10+BM10+BN10+BO10+BP10+BQ10+BR10+BS10+BT10+BU10+BV10+BW10+BX10+BY10+BZ10+CA10+CB10+CC10+CD10+CE10+CF10+CG10+CH10+CI10+CJ10+CK10+CL10+CM10+CN10+CO10+CP10+CQ10+CR10+CS10+CT10)*$E17</f>
        <v>51267299754.2668</v>
      </c>
    </row>
    <row r="18" customFormat="false" ht="15" hidden="false" customHeight="true" outlineLevel="0" collapsed="false">
      <c r="B18" s="19" t="s">
        <v>672</v>
      </c>
      <c r="C18" s="73" t="n">
        <v>64978</v>
      </c>
      <c r="D18" s="35" t="n">
        <v>0.105423</v>
      </c>
      <c r="E18" s="35" t="n">
        <v>0.16248</v>
      </c>
      <c r="F18" s="57" t="n">
        <f aca="false">(C10+D10+E10+F10+G10+H10+I10+J10+K10+L10+M10+N10)*$E18</f>
        <v>1174237056.90378</v>
      </c>
      <c r="G18" s="57" t="n">
        <f aca="false">(O10+P10+Q10+R10+S10+T10+U10+V10+W10+X10+Y10+Z10)*$E18</f>
        <v>2348474113.80756</v>
      </c>
      <c r="H18" s="57" t="n">
        <f aca="false">(AA10+AB10+AC10+AD10+AE10+AF10+AG10+AH10+AI10+AJ10+AK10+AL10)*$E18</f>
        <v>3522711170.71134</v>
      </c>
      <c r="I18" s="57" t="n">
        <f aca="false">(AM10+AN10+AO10+AP10+AQ10+AR10+AS10+AT10+AU10+AV10+AW10+AX10)*$E18</f>
        <v>4696948227.61512</v>
      </c>
      <c r="J18" s="58" t="n">
        <f aca="false">(C10+D10+E10+F10+G10+H10+I10+J10+K10+L10+M10+N10+O10+P10+Q10+R10+S10+T10+U10+V10+W10+X10+Y10+Z10+AA10+AB10+AC10+AD10+AE10+AF10+AG10+AH10+AI10+AJ10+AK10+AL10+AM10+AN10+AO10+AP10+AQ10+AR10+AS10+AT10+AU10+AV10+AW10+AX10+AY10+AZ10+BA10+BB10+BC10+BD10+BE10+BF10+BG10+BH10+BI10+BJ10+BK10+BL10+BM10+BN10+BO10+BP10+BQ10+BR10+BS10+BT10+BU10+BV10+BW10+BX10+BY10+BZ10+CA10+CB10+CC10+CD10+CE10+CF10+CG10+CH10+CI10+CJ10+CK10+CL10+CM10+CN10+CO10+CP10+CQ10+CR10+CS10+CT10)*$E18</f>
        <v>30530163479.4983</v>
      </c>
    </row>
    <row r="19" customFormat="false" ht="15" hidden="false" customHeight="true" outlineLevel="0" collapsed="false">
      <c r="B19" s="19" t="s">
        <v>673</v>
      </c>
      <c r="C19" s="73" t="n">
        <v>45872</v>
      </c>
      <c r="D19" s="35" t="n">
        <v>0.103026</v>
      </c>
      <c r="E19" s="35" t="n">
        <v>0.129005</v>
      </c>
      <c r="F19" s="57" t="n">
        <f aca="false">(C10+D10+E10+F10+G10+H10+I10+J10+K10+L10+M10+N10)*$E19</f>
        <v>932314448.091287</v>
      </c>
      <c r="G19" s="57" t="n">
        <f aca="false">(O10+P10+Q10+R10+S10+T10+U10+V10+W10+X10+Y10+Z10)*$E19</f>
        <v>1864628896.18257</v>
      </c>
      <c r="H19" s="57" t="n">
        <f aca="false">(AA10+AB10+AC10+AD10+AE10+AF10+AG10+AH10+AI10+AJ10+AK10+AL10)*$E19</f>
        <v>2796943344.27386</v>
      </c>
      <c r="I19" s="57" t="n">
        <f aca="false">(AM10+AN10+AO10+AP10+AQ10+AR10+AS10+AT10+AU10+AV10+AW10+AX10)*$E19</f>
        <v>3729257792.36515</v>
      </c>
      <c r="J19" s="58" t="n">
        <f aca="false">(C10+D10+E10+F10+G10+H10+I10+J10+K10+L10+M10+N10+O10+P10+Q10+R10+S10+T10+U10+V10+W10+X10+Y10+Z10+AA10+AB10+AC10+AD10+AE10+AF10+AG10+AH10+AI10+AJ10+AK10+AL10+AM10+AN10+AO10+AP10+AQ10+AR10+AS10+AT10+AU10+AV10+AW10+AX10+AY10+AZ10+BA10+BB10+BC10+BD10+BE10+BF10+BG10+BH10+BI10+BJ10+BK10+BL10+BM10+BN10+BO10+BP10+BQ10+BR10+BS10+BT10+BU10+BV10+BW10+BX10+BY10+BZ10+CA10+CB10+CC10+CD10+CE10+CF10+CG10+CH10+CI10+CJ10+CK10+CL10+CM10+CN10+CO10+CP10+CQ10+CR10+CS10+CT10)*$E19</f>
        <v>24240175650.3735</v>
      </c>
    </row>
    <row r="20" customFormat="false" ht="15" hidden="false" customHeight="true" outlineLevel="0" collapsed="false">
      <c r="B20" s="19" t="s">
        <v>674</v>
      </c>
      <c r="C20" s="73" t="n">
        <v>35542</v>
      </c>
      <c r="D20" s="35" t="n">
        <v>0.101194</v>
      </c>
      <c r="E20" s="35" t="n">
        <v>0.110639</v>
      </c>
      <c r="F20" s="57" t="n">
        <f aca="false">(C10+D10+E10+F10+G10+H10+I10+J10+K10+L10+M10+N10)*$E20</f>
        <v>799584033.350427</v>
      </c>
      <c r="G20" s="57" t="n">
        <f aca="false">(O10+P10+Q10+R10+S10+T10+U10+V10+W10+X10+Y10+Z10)*$E20</f>
        <v>1599168066.70085</v>
      </c>
      <c r="H20" s="57" t="n">
        <f aca="false">(AA10+AB10+AC10+AD10+AE10+AF10+AG10+AH10+AI10+AJ10+AK10+AL10)*$E20</f>
        <v>2398752100.05128</v>
      </c>
      <c r="I20" s="57" t="n">
        <f aca="false">(AM10+AN10+AO10+AP10+AQ10+AR10+AS10+AT10+AU10+AV10+AW10+AX10)*$E20</f>
        <v>3198336133.40171</v>
      </c>
      <c r="J20" s="58" t="n">
        <f aca="false">(C10+D10+E10+F10+G10+H10+I10+J10+K10+L10+M10+N10+O10+P10+Q10+R10+S10+T10+U10+V10+W10+X10+Y10+Z10+AA10+AB10+AC10+AD10+AE10+AF10+AG10+AH10+AI10+AJ10+AK10+AL10+AM10+AN10+AO10+AP10+AQ10+AR10+AS10+AT10+AU10+AV10+AW10+AX10+AY10+AZ10+BA10+BB10+BC10+BD10+BE10+BF10+BG10+BH10+BI10+BJ10+BK10+BL10+BM10+BN10+BO10+BP10+BQ10+BR10+BS10+BT10+BU10+BV10+BW10+BX10+BY10+BZ10+CA10+CB10+CC10+CD10+CE10+CF10+CG10+CH10+CI10+CJ10+CK10+CL10+CM10+CN10+CO10+CP10+CQ10+CR10+CS10+CT10)*$E20</f>
        <v>20789184867.1111</v>
      </c>
    </row>
    <row r="21" customFormat="false" ht="15" hidden="false" customHeight="true" outlineLevel="0" collapsed="false">
      <c r="B21" s="19" t="s">
        <v>675</v>
      </c>
      <c r="C21" s="73" t="n">
        <v>11035</v>
      </c>
      <c r="D21" s="35" t="n">
        <v>0.019947</v>
      </c>
      <c r="E21" s="35" t="n">
        <v>0.028615</v>
      </c>
      <c r="F21" s="57" t="n">
        <f aca="false">(C10+D10+E10+F10+G10+H10+I10+J10+K10+L10+M10+N10)*$E21</f>
        <v>206799565.382211</v>
      </c>
      <c r="G21" s="57" t="n">
        <f aca="false">(O10+P10+Q10+R10+S10+T10+U10+V10+W10+X10+Y10+Z10)*$E21</f>
        <v>413599130.764423</v>
      </c>
      <c r="H21" s="57" t="n">
        <f aca="false">(AA10+AB10+AC10+AD10+AE10+AF10+AG10+AH10+AI10+AJ10+AK10+AL10)*$E21</f>
        <v>620398696.146634</v>
      </c>
      <c r="I21" s="57" t="n">
        <f aca="false">(AM10+AN10+AO10+AP10+AQ10+AR10+AS10+AT10+AU10+AV10+AW10+AX10)*$E21</f>
        <v>827198261.528845</v>
      </c>
      <c r="J21" s="58" t="n">
        <f aca="false">(C10+D10+E10+F10+G10+H10+I10+J10+K10+L10+M10+N10+O10+P10+Q10+R10+S10+T10+U10+V10+W10+X10+Y10+Z10+AA10+AB10+AC10+AD10+AE10+AF10+AG10+AH10+AI10+AJ10+AK10+AL10+AM10+AN10+AO10+AP10+AQ10+AR10+AS10+AT10+AU10+AV10+AW10+AX10+AY10+AZ10+BA10+BB10+BC10+BD10+BE10+BF10+BG10+BH10+BI10+BJ10+BK10+BL10+BM10+BN10+BO10+BP10+BQ10+BR10+BS10+BT10+BU10+BV10+BW10+BX10+BY10+BZ10+CA10+CB10+CC10+CD10+CE10+CF10+CG10+CH10+CI10+CJ10+CK10+CL10+CM10+CN10+CO10+CP10+CQ10+CR10+CS10+CT10)*$E21</f>
        <v>5376788699.93749</v>
      </c>
    </row>
    <row r="22" customFormat="false" ht="15" hidden="false" customHeight="true" outlineLevel="0" collapsed="false">
      <c r="B22" s="46" t="s">
        <v>517</v>
      </c>
      <c r="C22" s="74" t="n">
        <f aca="false">SUM(C16:C21)</f>
        <v>295978</v>
      </c>
      <c r="D22" s="75" t="n">
        <f aca="false">SUM(D16:D21)</f>
        <v>1</v>
      </c>
      <c r="E22" s="75" t="n">
        <f aca="false">SUM(E16:E21)</f>
        <v>1</v>
      </c>
      <c r="F22" s="58" t="n">
        <f aca="false">SUM(F16:F21)</f>
        <v>7226963668.7825</v>
      </c>
      <c r="G22" s="58" t="n">
        <f aca="false">SUM(G16:G21)</f>
        <v>14453927337.565</v>
      </c>
      <c r="H22" s="58" t="n">
        <f aca="false">SUM(H16:H21)</f>
        <v>21680891006.3475</v>
      </c>
      <c r="I22" s="58" t="n">
        <f aca="false">SUM(I16:I21)</f>
        <v>28907854675.13</v>
      </c>
      <c r="J22" s="58" t="n">
        <f aca="false">SUM(J16:J21)</f>
        <v>187901055388.345</v>
      </c>
    </row>
    <row r="24" customFormat="false" ht="54.75" hidden="false" customHeight="true" outlineLevel="0" collapsed="false">
      <c r="B24" s="22" t="s">
        <v>676</v>
      </c>
    </row>
    <row r="25" customFormat="false" ht="15" hidden="false" customHeight="true" outlineLevel="0" collapsed="false">
      <c r="B25" s="61" t="s">
        <v>677</v>
      </c>
    </row>
    <row r="27" customFormat="false" ht="15" hidden="false" customHeight="false" outlineLevel="0" collapsed="false">
      <c r="B27" s="56" t="s">
        <v>678</v>
      </c>
      <c r="C27" s="2"/>
      <c r="D27" s="2"/>
      <c r="E27" s="2"/>
      <c r="F27" s="2"/>
      <c r="G27" s="2"/>
      <c r="H27" s="2"/>
    </row>
    <row r="28" customFormat="false" ht="15" hidden="false" customHeight="false" outlineLevel="0" collapsed="false">
      <c r="B28" s="19" t="s">
        <v>679</v>
      </c>
      <c r="C28" s="45" t="n">
        <v>928</v>
      </c>
      <c r="D28" s="61" t="s">
        <v>680</v>
      </c>
      <c r="E28" s="2"/>
      <c r="F28" s="2"/>
      <c r="G28" s="2"/>
      <c r="H28" s="2"/>
    </row>
    <row r="29" customFormat="false" ht="15" hidden="false" customHeight="false" outlineLevel="0" collapsed="false">
      <c r="B29" s="50" t="s">
        <v>661</v>
      </c>
      <c r="C29" s="50" t="s">
        <v>681</v>
      </c>
      <c r="D29" s="50" t="s">
        <v>682</v>
      </c>
      <c r="E29" s="50" t="s">
        <v>683</v>
      </c>
      <c r="F29" s="50" t="s">
        <v>684</v>
      </c>
      <c r="G29" s="50" t="s">
        <v>685</v>
      </c>
      <c r="H29" s="2"/>
    </row>
    <row r="30" customFormat="false" ht="15" hidden="false" customHeight="false" outlineLevel="0" collapsed="false">
      <c r="B30" s="65" t="str">
        <f aca="false">B16</f>
        <v>Boulogne Sur Mer</v>
      </c>
      <c r="C30" s="76" t="n">
        <f aca="false">D16</f>
        <v>0.340009</v>
      </c>
      <c r="D30" s="77" t="n">
        <f aca="false">$C$28*C30</f>
        <v>315.528352</v>
      </c>
      <c r="E30" s="78" t="n">
        <f aca="false">INT(D30)</f>
        <v>315</v>
      </c>
      <c r="F30" s="77" t="n">
        <f aca="false">D30-E30</f>
        <v>0.528351999999984</v>
      </c>
      <c r="G30" s="79" t="n">
        <f aca="false">E30+IF(RANK(F30,$F$30:$F$35,0)&lt;=$C$28-SUM($E$30:$E$35),1,0)</f>
        <v>315</v>
      </c>
      <c r="H30" s="2"/>
    </row>
    <row r="31" customFormat="false" ht="15" hidden="false" customHeight="false" outlineLevel="0" collapsed="false">
      <c r="B31" s="65" t="str">
        <f aca="false">B17</f>
        <v>Béccar</v>
      </c>
      <c r="C31" s="76" t="n">
        <f aca="false">D17</f>
        <v>0.330401</v>
      </c>
      <c r="D31" s="77" t="n">
        <f aca="false">$C$28*C31</f>
        <v>306.612128</v>
      </c>
      <c r="E31" s="78" t="n">
        <f aca="false">INT(D31)</f>
        <v>306</v>
      </c>
      <c r="F31" s="77" t="n">
        <f aca="false">D31-E31</f>
        <v>0.612127999999984</v>
      </c>
      <c r="G31" s="79" t="n">
        <f aca="false">E31+IF(RANK(F31,$F$30:$F$35,0)&lt;=$C$28-SUM($E$30:$E$35),1,0)</f>
        <v>307</v>
      </c>
      <c r="H31" s="2"/>
    </row>
    <row r="32" customFormat="false" ht="15" hidden="false" customHeight="false" outlineLevel="0" collapsed="false">
      <c r="B32" s="65" t="str">
        <f aca="false">B18</f>
        <v>Martínez</v>
      </c>
      <c r="C32" s="76" t="n">
        <f aca="false">D18</f>
        <v>0.105423</v>
      </c>
      <c r="D32" s="77" t="n">
        <f aca="false">$C$28*C32</f>
        <v>97.832544</v>
      </c>
      <c r="E32" s="78" t="n">
        <f aca="false">INT(D32)</f>
        <v>97</v>
      </c>
      <c r="F32" s="77" t="n">
        <f aca="false">D32-E32</f>
        <v>0.832543999999999</v>
      </c>
      <c r="G32" s="79" t="n">
        <f aca="false">E32+IF(RANK(F32,$F$30:$F$35,0)&lt;=$C$28-SUM($E$30:$E$35),1,0)</f>
        <v>98</v>
      </c>
      <c r="H32" s="2"/>
    </row>
    <row r="33" customFormat="false" ht="15" hidden="false" customHeight="false" outlineLevel="0" collapsed="false">
      <c r="B33" s="65" t="str">
        <f aca="false">B19</f>
        <v>San Isidro</v>
      </c>
      <c r="C33" s="76" t="n">
        <f aca="false">D19</f>
        <v>0.103026</v>
      </c>
      <c r="D33" s="77" t="n">
        <f aca="false">$C$28*C33</f>
        <v>95.608128</v>
      </c>
      <c r="E33" s="78" t="n">
        <f aca="false">INT(D33)</f>
        <v>95</v>
      </c>
      <c r="F33" s="77" t="n">
        <f aca="false">D33-E33</f>
        <v>0.608128000000008</v>
      </c>
      <c r="G33" s="79" t="n">
        <f aca="false">E33+IF(RANK(F33,$F$30:$F$35,0)&lt;=$C$28-SUM($E$30:$E$35),1,0)</f>
        <v>96</v>
      </c>
      <c r="H33" s="2"/>
    </row>
    <row r="34" customFormat="false" ht="15" hidden="false" customHeight="false" outlineLevel="0" collapsed="false">
      <c r="B34" s="65" t="str">
        <f aca="false">B20</f>
        <v>Villa Adelina</v>
      </c>
      <c r="C34" s="76" t="n">
        <f aca="false">D20</f>
        <v>0.101194</v>
      </c>
      <c r="D34" s="77" t="n">
        <f aca="false">$C$28*C34</f>
        <v>93.908032</v>
      </c>
      <c r="E34" s="78" t="n">
        <f aca="false">INT(D34)</f>
        <v>93</v>
      </c>
      <c r="F34" s="77" t="n">
        <f aca="false">D34-E34</f>
        <v>0.908032000000006</v>
      </c>
      <c r="G34" s="79" t="n">
        <f aca="false">E34+IF(RANK(F34,$F$30:$F$35,0)&lt;=$C$28-SUM($E$30:$E$35),1,0)</f>
        <v>94</v>
      </c>
      <c r="H34" s="2"/>
    </row>
    <row r="35" customFormat="false" ht="15" hidden="false" customHeight="false" outlineLevel="0" collapsed="false">
      <c r="B35" s="65" t="str">
        <f aca="false">B21</f>
        <v>Acassuso</v>
      </c>
      <c r="C35" s="76" t="n">
        <f aca="false">D21</f>
        <v>0.019947</v>
      </c>
      <c r="D35" s="77" t="n">
        <f aca="false">$C$28*C35</f>
        <v>18.510816</v>
      </c>
      <c r="E35" s="78" t="n">
        <f aca="false">INT(D35)</f>
        <v>18</v>
      </c>
      <c r="F35" s="77" t="n">
        <f aca="false">D35-E35</f>
        <v>0.510815999999998</v>
      </c>
      <c r="G35" s="79" t="n">
        <f aca="false">E35+IF(RANK(F35,$F$30:$F$35,0)&lt;=$C$28-SUM($E$30:$E$35),1,0)</f>
        <v>18</v>
      </c>
      <c r="H35" s="2"/>
    </row>
    <row r="36" customFormat="false" ht="15" hidden="false" customHeight="false" outlineLevel="0" collapsed="false">
      <c r="B36" s="54" t="s">
        <v>517</v>
      </c>
      <c r="C36" s="80" t="n">
        <f aca="false">SUM(C30:C35)</f>
        <v>1</v>
      </c>
      <c r="D36" s="80" t="n">
        <f aca="false">SUM(D30:D35)</f>
        <v>928</v>
      </c>
      <c r="E36" s="81" t="n">
        <f aca="false">SUM(E30:E35)</f>
        <v>924</v>
      </c>
      <c r="F36" s="2"/>
      <c r="G36" s="81" t="n">
        <f aca="false">SUM(G30:G35)</f>
        <v>928</v>
      </c>
      <c r="H36" s="2"/>
    </row>
    <row r="37" customFormat="false" ht="45" hidden="false" customHeight="true" outlineLevel="0" collapsed="false">
      <c r="B37" s="22" t="s">
        <v>686</v>
      </c>
      <c r="C37" s="2"/>
      <c r="D37" s="2"/>
      <c r="E37" s="2"/>
      <c r="F37" s="2"/>
      <c r="G37" s="2"/>
      <c r="H37"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CT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98" min="3" style="1" width="11"/>
  </cols>
  <sheetData>
    <row r="2" customFormat="false" ht="15.75" hidden="false" customHeight="true" outlineLevel="0" collapsed="false">
      <c r="B2" s="16" t="s">
        <v>687</v>
      </c>
    </row>
    <row r="3" customFormat="false" ht="15" hidden="false" customHeight="true" outlineLevel="0" collapsed="false">
      <c r="B3" s="4" t="s">
        <v>688</v>
      </c>
    </row>
    <row r="5" customFormat="false" ht="15" hidden="false" customHeight="true" outlineLevel="0" collapsed="false">
      <c r="B5" s="52" t="s">
        <v>541</v>
      </c>
      <c r="C5" s="52" t="s">
        <v>542</v>
      </c>
      <c r="D5" s="53"/>
      <c r="E5" s="53"/>
      <c r="F5" s="53"/>
      <c r="G5" s="53"/>
      <c r="H5" s="53"/>
      <c r="I5" s="53"/>
      <c r="J5" s="53"/>
      <c r="K5" s="53"/>
      <c r="L5" s="53"/>
      <c r="M5" s="53"/>
      <c r="N5" s="53"/>
      <c r="O5" s="52" t="s">
        <v>543</v>
      </c>
      <c r="P5" s="53"/>
      <c r="Q5" s="53"/>
      <c r="R5" s="53"/>
      <c r="S5" s="53"/>
      <c r="T5" s="53"/>
      <c r="U5" s="53"/>
      <c r="V5" s="53"/>
      <c r="W5" s="53"/>
      <c r="X5" s="53"/>
      <c r="Y5" s="53"/>
      <c r="Z5" s="53"/>
      <c r="AA5" s="52" t="s">
        <v>544</v>
      </c>
      <c r="AB5" s="53"/>
      <c r="AC5" s="53"/>
      <c r="AD5" s="53"/>
      <c r="AE5" s="53"/>
      <c r="AF5" s="53"/>
      <c r="AG5" s="53"/>
      <c r="AH5" s="53"/>
      <c r="AI5" s="53"/>
      <c r="AJ5" s="53"/>
      <c r="AK5" s="53"/>
      <c r="AL5" s="53"/>
      <c r="AM5" s="52" t="s">
        <v>545</v>
      </c>
      <c r="AN5" s="53"/>
      <c r="AO5" s="53"/>
      <c r="AP5" s="53"/>
      <c r="AQ5" s="53"/>
      <c r="AR5" s="53"/>
      <c r="AS5" s="53"/>
      <c r="AT5" s="53"/>
      <c r="AU5" s="53"/>
      <c r="AV5" s="53"/>
      <c r="AW5" s="53"/>
      <c r="AX5" s="53"/>
      <c r="AY5" s="52" t="s">
        <v>546</v>
      </c>
      <c r="AZ5" s="53"/>
      <c r="BA5" s="53"/>
      <c r="BB5" s="53"/>
      <c r="BC5" s="53"/>
      <c r="BD5" s="53"/>
      <c r="BE5" s="53"/>
      <c r="BF5" s="53"/>
      <c r="BG5" s="53"/>
      <c r="BH5" s="53"/>
      <c r="BI5" s="53"/>
      <c r="BJ5" s="53"/>
      <c r="BK5" s="52" t="s">
        <v>547</v>
      </c>
      <c r="BL5" s="53"/>
      <c r="BM5" s="53"/>
      <c r="BN5" s="53"/>
      <c r="BO5" s="53"/>
      <c r="BP5" s="53"/>
      <c r="BQ5" s="53"/>
      <c r="BR5" s="53"/>
      <c r="BS5" s="53"/>
      <c r="BT5" s="53"/>
      <c r="BU5" s="53"/>
      <c r="BV5" s="53"/>
      <c r="BW5" s="52" t="s">
        <v>548</v>
      </c>
      <c r="BX5" s="53"/>
      <c r="BY5" s="53"/>
      <c r="BZ5" s="53"/>
      <c r="CA5" s="53"/>
      <c r="CB5" s="53"/>
      <c r="CC5" s="53"/>
      <c r="CD5" s="53"/>
      <c r="CE5" s="53"/>
      <c r="CF5" s="53"/>
      <c r="CG5" s="53"/>
      <c r="CH5" s="53"/>
      <c r="CI5" s="52" t="s">
        <v>549</v>
      </c>
      <c r="CJ5" s="53"/>
      <c r="CK5" s="53"/>
      <c r="CL5" s="53"/>
      <c r="CM5" s="53"/>
      <c r="CN5" s="53"/>
      <c r="CO5" s="53"/>
      <c r="CP5" s="53"/>
      <c r="CQ5" s="53"/>
      <c r="CR5" s="53"/>
      <c r="CS5" s="53"/>
      <c r="CT5" s="53"/>
    </row>
    <row r="6" customFormat="false" ht="15" hidden="false" customHeight="true" outlineLevel="0" collapsed="false">
      <c r="B6" s="54" t="s">
        <v>550</v>
      </c>
      <c r="C6" s="55" t="s">
        <v>505</v>
      </c>
      <c r="D6" s="55" t="s">
        <v>506</v>
      </c>
      <c r="E6" s="55" t="s">
        <v>507</v>
      </c>
      <c r="F6" s="55" t="s">
        <v>508</v>
      </c>
      <c r="G6" s="55" t="s">
        <v>509</v>
      </c>
      <c r="H6" s="55" t="s">
        <v>510</v>
      </c>
      <c r="I6" s="55" t="s">
        <v>511</v>
      </c>
      <c r="J6" s="55" t="s">
        <v>512</v>
      </c>
      <c r="K6" s="55" t="s">
        <v>513</v>
      </c>
      <c r="L6" s="55" t="s">
        <v>514</v>
      </c>
      <c r="M6" s="55" t="s">
        <v>515</v>
      </c>
      <c r="N6" s="55" t="s">
        <v>516</v>
      </c>
      <c r="O6" s="55" t="s">
        <v>505</v>
      </c>
      <c r="P6" s="55" t="s">
        <v>506</v>
      </c>
      <c r="Q6" s="55" t="s">
        <v>507</v>
      </c>
      <c r="R6" s="55" t="s">
        <v>508</v>
      </c>
      <c r="S6" s="55" t="s">
        <v>509</v>
      </c>
      <c r="T6" s="55" t="s">
        <v>510</v>
      </c>
      <c r="U6" s="55" t="s">
        <v>511</v>
      </c>
      <c r="V6" s="55" t="s">
        <v>512</v>
      </c>
      <c r="W6" s="55" t="s">
        <v>513</v>
      </c>
      <c r="X6" s="55" t="s">
        <v>514</v>
      </c>
      <c r="Y6" s="55" t="s">
        <v>515</v>
      </c>
      <c r="Z6" s="55" t="s">
        <v>516</v>
      </c>
      <c r="AA6" s="55" t="s">
        <v>505</v>
      </c>
      <c r="AB6" s="55" t="s">
        <v>506</v>
      </c>
      <c r="AC6" s="55" t="s">
        <v>507</v>
      </c>
      <c r="AD6" s="55" t="s">
        <v>508</v>
      </c>
      <c r="AE6" s="55" t="s">
        <v>509</v>
      </c>
      <c r="AF6" s="55" t="s">
        <v>510</v>
      </c>
      <c r="AG6" s="55" t="s">
        <v>511</v>
      </c>
      <c r="AH6" s="55" t="s">
        <v>512</v>
      </c>
      <c r="AI6" s="55" t="s">
        <v>513</v>
      </c>
      <c r="AJ6" s="55" t="s">
        <v>514</v>
      </c>
      <c r="AK6" s="55" t="s">
        <v>515</v>
      </c>
      <c r="AL6" s="55" t="s">
        <v>516</v>
      </c>
      <c r="AM6" s="55" t="s">
        <v>505</v>
      </c>
      <c r="AN6" s="55" t="s">
        <v>506</v>
      </c>
      <c r="AO6" s="55" t="s">
        <v>507</v>
      </c>
      <c r="AP6" s="55" t="s">
        <v>508</v>
      </c>
      <c r="AQ6" s="55" t="s">
        <v>509</v>
      </c>
      <c r="AR6" s="55" t="s">
        <v>510</v>
      </c>
      <c r="AS6" s="55" t="s">
        <v>511</v>
      </c>
      <c r="AT6" s="55" t="s">
        <v>512</v>
      </c>
      <c r="AU6" s="55" t="s">
        <v>513</v>
      </c>
      <c r="AV6" s="55" t="s">
        <v>514</v>
      </c>
      <c r="AW6" s="55" t="s">
        <v>515</v>
      </c>
      <c r="AX6" s="55" t="s">
        <v>516</v>
      </c>
      <c r="AY6" s="55" t="s">
        <v>505</v>
      </c>
      <c r="AZ6" s="55" t="s">
        <v>506</v>
      </c>
      <c r="BA6" s="55" t="s">
        <v>507</v>
      </c>
      <c r="BB6" s="55" t="s">
        <v>508</v>
      </c>
      <c r="BC6" s="55" t="s">
        <v>509</v>
      </c>
      <c r="BD6" s="55" t="s">
        <v>510</v>
      </c>
      <c r="BE6" s="55" t="s">
        <v>511</v>
      </c>
      <c r="BF6" s="55" t="s">
        <v>512</v>
      </c>
      <c r="BG6" s="55" t="s">
        <v>513</v>
      </c>
      <c r="BH6" s="55" t="s">
        <v>514</v>
      </c>
      <c r="BI6" s="55" t="s">
        <v>515</v>
      </c>
      <c r="BJ6" s="55" t="s">
        <v>516</v>
      </c>
      <c r="BK6" s="55" t="s">
        <v>505</v>
      </c>
      <c r="BL6" s="55" t="s">
        <v>506</v>
      </c>
      <c r="BM6" s="55" t="s">
        <v>507</v>
      </c>
      <c r="BN6" s="55" t="s">
        <v>508</v>
      </c>
      <c r="BO6" s="55" t="s">
        <v>509</v>
      </c>
      <c r="BP6" s="55" t="s">
        <v>510</v>
      </c>
      <c r="BQ6" s="55" t="s">
        <v>511</v>
      </c>
      <c r="BR6" s="55" t="s">
        <v>512</v>
      </c>
      <c r="BS6" s="55" t="s">
        <v>513</v>
      </c>
      <c r="BT6" s="55" t="s">
        <v>514</v>
      </c>
      <c r="BU6" s="55" t="s">
        <v>515</v>
      </c>
      <c r="BV6" s="55" t="s">
        <v>516</v>
      </c>
      <c r="BW6" s="55" t="s">
        <v>505</v>
      </c>
      <c r="BX6" s="55" t="s">
        <v>506</v>
      </c>
      <c r="BY6" s="55" t="s">
        <v>507</v>
      </c>
      <c r="BZ6" s="55" t="s">
        <v>508</v>
      </c>
      <c r="CA6" s="55" t="s">
        <v>509</v>
      </c>
      <c r="CB6" s="55" t="s">
        <v>510</v>
      </c>
      <c r="CC6" s="55" t="s">
        <v>511</v>
      </c>
      <c r="CD6" s="55" t="s">
        <v>512</v>
      </c>
      <c r="CE6" s="55" t="s">
        <v>513</v>
      </c>
      <c r="CF6" s="55" t="s">
        <v>514</v>
      </c>
      <c r="CG6" s="55" t="s">
        <v>515</v>
      </c>
      <c r="CH6" s="55" t="s">
        <v>516</v>
      </c>
      <c r="CI6" s="55" t="s">
        <v>505</v>
      </c>
      <c r="CJ6" s="55" t="s">
        <v>506</v>
      </c>
      <c r="CK6" s="55" t="s">
        <v>507</v>
      </c>
      <c r="CL6" s="55" t="s">
        <v>508</v>
      </c>
      <c r="CM6" s="55" t="s">
        <v>509</v>
      </c>
      <c r="CN6" s="55" t="s">
        <v>510</v>
      </c>
      <c r="CO6" s="55" t="s">
        <v>511</v>
      </c>
      <c r="CP6" s="55" t="s">
        <v>512</v>
      </c>
      <c r="CQ6" s="55" t="s">
        <v>513</v>
      </c>
      <c r="CR6" s="55" t="s">
        <v>514</v>
      </c>
      <c r="CS6" s="55" t="s">
        <v>515</v>
      </c>
      <c r="CT6" s="55" t="s">
        <v>516</v>
      </c>
    </row>
    <row r="7" customFormat="false" ht="15" hidden="false" customHeight="true" outlineLevel="0" collapsed="false">
      <c r="B7" s="19" t="s">
        <v>689</v>
      </c>
      <c r="C7" s="47" t="n">
        <f aca="false">MIN((0+1)/4,1)</f>
        <v>0.25</v>
      </c>
      <c r="D7" s="47" t="n">
        <f aca="false">MIN((0+1)/4,1)</f>
        <v>0.25</v>
      </c>
      <c r="E7" s="47" t="n">
        <f aca="false">MIN((0+1)/4,1)</f>
        <v>0.25</v>
      </c>
      <c r="F7" s="47" t="n">
        <f aca="false">MIN((0+1)/4,1)</f>
        <v>0.25</v>
      </c>
      <c r="G7" s="47" t="n">
        <f aca="false">MIN((0+1)/4,1)</f>
        <v>0.25</v>
      </c>
      <c r="H7" s="47" t="n">
        <f aca="false">MIN((0+1)/4,1)</f>
        <v>0.25</v>
      </c>
      <c r="I7" s="47" t="n">
        <f aca="false">MIN((0+1)/4,1)</f>
        <v>0.25</v>
      </c>
      <c r="J7" s="47" t="n">
        <f aca="false">MIN((0+1)/4,1)</f>
        <v>0.25</v>
      </c>
      <c r="K7" s="47" t="n">
        <f aca="false">MIN((0+1)/4,1)</f>
        <v>0.25</v>
      </c>
      <c r="L7" s="47" t="n">
        <f aca="false">MIN((0+1)/4,1)</f>
        <v>0.25</v>
      </c>
      <c r="M7" s="47" t="n">
        <f aca="false">MIN((0+1)/4,1)</f>
        <v>0.25</v>
      </c>
      <c r="N7" s="47" t="n">
        <f aca="false">MIN((0+1)/4,1)</f>
        <v>0.25</v>
      </c>
      <c r="O7" s="47" t="n">
        <f aca="false">MIN((1+1)/4,1)</f>
        <v>0.5</v>
      </c>
      <c r="P7" s="47" t="n">
        <f aca="false">MIN((1+1)/4,1)</f>
        <v>0.5</v>
      </c>
      <c r="Q7" s="47" t="n">
        <f aca="false">MIN((1+1)/4,1)</f>
        <v>0.5</v>
      </c>
      <c r="R7" s="47" t="n">
        <f aca="false">MIN((1+1)/4,1)</f>
        <v>0.5</v>
      </c>
      <c r="S7" s="47" t="n">
        <f aca="false">MIN((1+1)/4,1)</f>
        <v>0.5</v>
      </c>
      <c r="T7" s="47" t="n">
        <f aca="false">MIN((1+1)/4,1)</f>
        <v>0.5</v>
      </c>
      <c r="U7" s="47" t="n">
        <f aca="false">MIN((1+1)/4,1)</f>
        <v>0.5</v>
      </c>
      <c r="V7" s="47" t="n">
        <f aca="false">MIN((1+1)/4,1)</f>
        <v>0.5</v>
      </c>
      <c r="W7" s="47" t="n">
        <f aca="false">MIN((1+1)/4,1)</f>
        <v>0.5</v>
      </c>
      <c r="X7" s="47" t="n">
        <f aca="false">MIN((1+1)/4,1)</f>
        <v>0.5</v>
      </c>
      <c r="Y7" s="47" t="n">
        <f aca="false">MIN((1+1)/4,1)</f>
        <v>0.5</v>
      </c>
      <c r="Z7" s="47" t="n">
        <f aca="false">MIN((1+1)/4,1)</f>
        <v>0.5</v>
      </c>
      <c r="AA7" s="47" t="n">
        <f aca="false">MIN((2+1)/4,1)</f>
        <v>0.75</v>
      </c>
      <c r="AB7" s="47" t="n">
        <f aca="false">MIN((2+1)/4,1)</f>
        <v>0.75</v>
      </c>
      <c r="AC7" s="47" t="n">
        <f aca="false">MIN((2+1)/4,1)</f>
        <v>0.75</v>
      </c>
      <c r="AD7" s="47" t="n">
        <f aca="false">MIN((2+1)/4,1)</f>
        <v>0.75</v>
      </c>
      <c r="AE7" s="47" t="n">
        <f aca="false">MIN((2+1)/4,1)</f>
        <v>0.75</v>
      </c>
      <c r="AF7" s="47" t="n">
        <f aca="false">MIN((2+1)/4,1)</f>
        <v>0.75</v>
      </c>
      <c r="AG7" s="47" t="n">
        <f aca="false">MIN((2+1)/4,1)</f>
        <v>0.75</v>
      </c>
      <c r="AH7" s="47" t="n">
        <f aca="false">MIN((2+1)/4,1)</f>
        <v>0.75</v>
      </c>
      <c r="AI7" s="47" t="n">
        <f aca="false">MIN((2+1)/4,1)</f>
        <v>0.75</v>
      </c>
      <c r="AJ7" s="47" t="n">
        <f aca="false">MIN((2+1)/4,1)</f>
        <v>0.75</v>
      </c>
      <c r="AK7" s="47" t="n">
        <f aca="false">MIN((2+1)/4,1)</f>
        <v>0.75</v>
      </c>
      <c r="AL7" s="47" t="n">
        <f aca="false">MIN((2+1)/4,1)</f>
        <v>0.75</v>
      </c>
      <c r="AM7" s="47" t="n">
        <f aca="false">MIN((3+1)/4,1)</f>
        <v>1</v>
      </c>
      <c r="AN7" s="47" t="n">
        <f aca="false">MIN((3+1)/4,1)</f>
        <v>1</v>
      </c>
      <c r="AO7" s="47" t="n">
        <f aca="false">MIN((3+1)/4,1)</f>
        <v>1</v>
      </c>
      <c r="AP7" s="47" t="n">
        <f aca="false">MIN((3+1)/4,1)</f>
        <v>1</v>
      </c>
      <c r="AQ7" s="47" t="n">
        <f aca="false">MIN((3+1)/4,1)</f>
        <v>1</v>
      </c>
      <c r="AR7" s="47" t="n">
        <f aca="false">MIN((3+1)/4,1)</f>
        <v>1</v>
      </c>
      <c r="AS7" s="47" t="n">
        <f aca="false">MIN((3+1)/4,1)</f>
        <v>1</v>
      </c>
      <c r="AT7" s="47" t="n">
        <f aca="false">MIN((3+1)/4,1)</f>
        <v>1</v>
      </c>
      <c r="AU7" s="47" t="n">
        <f aca="false">MIN((3+1)/4,1)</f>
        <v>1</v>
      </c>
      <c r="AV7" s="47" t="n">
        <f aca="false">MIN((3+1)/4,1)</f>
        <v>1</v>
      </c>
      <c r="AW7" s="47" t="n">
        <f aca="false">MIN((3+1)/4,1)</f>
        <v>1</v>
      </c>
      <c r="AX7" s="47" t="n">
        <f aca="false">MIN((3+1)/4,1)</f>
        <v>1</v>
      </c>
      <c r="AY7" s="47" t="n">
        <f aca="false">MIN((4+1)/4,1)</f>
        <v>1</v>
      </c>
      <c r="AZ7" s="47" t="n">
        <f aca="false">MIN((4+1)/4,1)</f>
        <v>1</v>
      </c>
      <c r="BA7" s="47" t="n">
        <f aca="false">MIN((4+1)/4,1)</f>
        <v>1</v>
      </c>
      <c r="BB7" s="47" t="n">
        <f aca="false">MIN((4+1)/4,1)</f>
        <v>1</v>
      </c>
      <c r="BC7" s="47" t="n">
        <f aca="false">MIN((4+1)/4,1)</f>
        <v>1</v>
      </c>
      <c r="BD7" s="47" t="n">
        <f aca="false">MIN((4+1)/4,1)</f>
        <v>1</v>
      </c>
      <c r="BE7" s="47" t="n">
        <f aca="false">MIN((4+1)/4,1)</f>
        <v>1</v>
      </c>
      <c r="BF7" s="47" t="n">
        <f aca="false">MIN((4+1)/4,1)</f>
        <v>1</v>
      </c>
      <c r="BG7" s="47" t="n">
        <f aca="false">MIN((4+1)/4,1)</f>
        <v>1</v>
      </c>
      <c r="BH7" s="47" t="n">
        <f aca="false">MIN((4+1)/4,1)</f>
        <v>1</v>
      </c>
      <c r="BI7" s="47" t="n">
        <f aca="false">MIN((4+1)/4,1)</f>
        <v>1</v>
      </c>
      <c r="BJ7" s="47" t="n">
        <f aca="false">MIN((4+1)/4,1)</f>
        <v>1</v>
      </c>
      <c r="BK7" s="47" t="n">
        <f aca="false">MIN((5+1)/4,1)</f>
        <v>1</v>
      </c>
      <c r="BL7" s="47" t="n">
        <f aca="false">MIN((5+1)/4,1)</f>
        <v>1</v>
      </c>
      <c r="BM7" s="47" t="n">
        <f aca="false">MIN((5+1)/4,1)</f>
        <v>1</v>
      </c>
      <c r="BN7" s="47" t="n">
        <f aca="false">MIN((5+1)/4,1)</f>
        <v>1</v>
      </c>
      <c r="BO7" s="47" t="n">
        <f aca="false">MIN((5+1)/4,1)</f>
        <v>1</v>
      </c>
      <c r="BP7" s="47" t="n">
        <f aca="false">MIN((5+1)/4,1)</f>
        <v>1</v>
      </c>
      <c r="BQ7" s="47" t="n">
        <f aca="false">MIN((5+1)/4,1)</f>
        <v>1</v>
      </c>
      <c r="BR7" s="47" t="n">
        <f aca="false">MIN((5+1)/4,1)</f>
        <v>1</v>
      </c>
      <c r="BS7" s="47" t="n">
        <f aca="false">MIN((5+1)/4,1)</f>
        <v>1</v>
      </c>
      <c r="BT7" s="47" t="n">
        <f aca="false">MIN((5+1)/4,1)</f>
        <v>1</v>
      </c>
      <c r="BU7" s="47" t="n">
        <f aca="false">MIN((5+1)/4,1)</f>
        <v>1</v>
      </c>
      <c r="BV7" s="47" t="n">
        <f aca="false">MIN((5+1)/4,1)</f>
        <v>1</v>
      </c>
      <c r="BW7" s="47" t="n">
        <f aca="false">MIN((6+1)/4,1)</f>
        <v>1</v>
      </c>
      <c r="BX7" s="47" t="n">
        <f aca="false">MIN((6+1)/4,1)</f>
        <v>1</v>
      </c>
      <c r="BY7" s="47" t="n">
        <f aca="false">MIN((6+1)/4,1)</f>
        <v>1</v>
      </c>
      <c r="BZ7" s="47" t="n">
        <f aca="false">MIN((6+1)/4,1)</f>
        <v>1</v>
      </c>
      <c r="CA7" s="47" t="n">
        <f aca="false">MIN((6+1)/4,1)</f>
        <v>1</v>
      </c>
      <c r="CB7" s="47" t="n">
        <f aca="false">MIN((6+1)/4,1)</f>
        <v>1</v>
      </c>
      <c r="CC7" s="47" t="n">
        <f aca="false">MIN((6+1)/4,1)</f>
        <v>1</v>
      </c>
      <c r="CD7" s="47" t="n">
        <f aca="false">MIN((6+1)/4,1)</f>
        <v>1</v>
      </c>
      <c r="CE7" s="47" t="n">
        <f aca="false">MIN((6+1)/4,1)</f>
        <v>1</v>
      </c>
      <c r="CF7" s="47" t="n">
        <f aca="false">MIN((6+1)/4,1)</f>
        <v>1</v>
      </c>
      <c r="CG7" s="47" t="n">
        <f aca="false">MIN((6+1)/4,1)</f>
        <v>1</v>
      </c>
      <c r="CH7" s="47" t="n">
        <f aca="false">MIN((6+1)/4,1)</f>
        <v>1</v>
      </c>
      <c r="CI7" s="47" t="n">
        <f aca="false">MIN((7+1)/4,1)</f>
        <v>1</v>
      </c>
      <c r="CJ7" s="47" t="n">
        <f aca="false">MIN((7+1)/4,1)</f>
        <v>1</v>
      </c>
      <c r="CK7" s="47" t="n">
        <f aca="false">MIN((7+1)/4,1)</f>
        <v>1</v>
      </c>
      <c r="CL7" s="47" t="n">
        <f aca="false">MIN((7+1)/4,1)</f>
        <v>1</v>
      </c>
      <c r="CM7" s="47" t="n">
        <f aca="false">MIN((7+1)/4,1)</f>
        <v>1</v>
      </c>
      <c r="CN7" s="47" t="n">
        <f aca="false">MIN((7+1)/4,1)</f>
        <v>1</v>
      </c>
      <c r="CO7" s="47" t="n">
        <f aca="false">MIN((7+1)/4,1)</f>
        <v>1</v>
      </c>
      <c r="CP7" s="47" t="n">
        <f aca="false">MIN((7+1)/4,1)</f>
        <v>1</v>
      </c>
      <c r="CQ7" s="47" t="n">
        <f aca="false">MIN((7+1)/4,1)</f>
        <v>1</v>
      </c>
      <c r="CR7" s="47" t="n">
        <f aca="false">MIN((7+1)/4,1)</f>
        <v>1</v>
      </c>
      <c r="CS7" s="47" t="n">
        <f aca="false">MIN((7+1)/4,1)</f>
        <v>1</v>
      </c>
      <c r="CT7" s="47" t="n">
        <f aca="false">MIN((7+1)/4,1)</f>
        <v>1</v>
      </c>
    </row>
    <row r="8" customFormat="false" ht="15" hidden="false" customHeight="false" outlineLevel="0" collapsed="false">
      <c r="B8" s="19" t="s">
        <v>690</v>
      </c>
      <c r="C8" s="82" t="n">
        <v>1</v>
      </c>
      <c r="D8" s="82" t="n">
        <v>1</v>
      </c>
      <c r="E8" s="82" t="n">
        <v>1</v>
      </c>
      <c r="F8" s="82" t="n">
        <v>1</v>
      </c>
      <c r="G8" s="82" t="n">
        <v>1</v>
      </c>
      <c r="H8" s="82" t="n">
        <v>1</v>
      </c>
      <c r="I8" s="82" t="n">
        <v>1</v>
      </c>
      <c r="J8" s="82" t="n">
        <v>1</v>
      </c>
      <c r="K8" s="82" t="n">
        <v>1</v>
      </c>
      <c r="L8" s="82" t="n">
        <v>1</v>
      </c>
      <c r="M8" s="82" t="n">
        <v>1</v>
      </c>
      <c r="N8" s="82" t="n">
        <v>1</v>
      </c>
      <c r="O8" s="82" t="n">
        <v>2</v>
      </c>
      <c r="P8" s="82" t="n">
        <v>2</v>
      </c>
      <c r="Q8" s="82" t="n">
        <v>2</v>
      </c>
      <c r="R8" s="82" t="n">
        <v>2</v>
      </c>
      <c r="S8" s="82" t="n">
        <v>2</v>
      </c>
      <c r="T8" s="82" t="n">
        <v>2</v>
      </c>
      <c r="U8" s="82" t="n">
        <v>2</v>
      </c>
      <c r="V8" s="82" t="n">
        <v>2</v>
      </c>
      <c r="W8" s="82" t="n">
        <v>2</v>
      </c>
      <c r="X8" s="82" t="n">
        <v>2</v>
      </c>
      <c r="Y8" s="82" t="n">
        <v>2</v>
      </c>
      <c r="Z8" s="82" t="n">
        <v>2</v>
      </c>
      <c r="AA8" s="82" t="n">
        <v>3</v>
      </c>
      <c r="AB8" s="82" t="n">
        <v>3</v>
      </c>
      <c r="AC8" s="82" t="n">
        <v>3</v>
      </c>
      <c r="AD8" s="82" t="n">
        <v>3</v>
      </c>
      <c r="AE8" s="82" t="n">
        <v>3</v>
      </c>
      <c r="AF8" s="82" t="n">
        <v>3</v>
      </c>
      <c r="AG8" s="82" t="n">
        <v>3</v>
      </c>
      <c r="AH8" s="82" t="n">
        <v>3</v>
      </c>
      <c r="AI8" s="82" t="n">
        <v>3</v>
      </c>
      <c r="AJ8" s="82" t="n">
        <v>3</v>
      </c>
      <c r="AK8" s="82" t="n">
        <v>3</v>
      </c>
      <c r="AL8" s="82" t="n">
        <v>3</v>
      </c>
      <c r="AM8" s="82" t="n">
        <v>4</v>
      </c>
      <c r="AN8" s="82" t="n">
        <v>4</v>
      </c>
      <c r="AO8" s="82" t="n">
        <v>4</v>
      </c>
      <c r="AP8" s="82" t="n">
        <v>4</v>
      </c>
      <c r="AQ8" s="82" t="n">
        <v>4</v>
      </c>
      <c r="AR8" s="82" t="n">
        <v>4</v>
      </c>
      <c r="AS8" s="82" t="n">
        <v>4</v>
      </c>
      <c r="AT8" s="82" t="n">
        <v>4</v>
      </c>
      <c r="AU8" s="82" t="n">
        <v>4</v>
      </c>
      <c r="AV8" s="82" t="n">
        <v>4</v>
      </c>
      <c r="AW8" s="82" t="n">
        <v>4</v>
      </c>
      <c r="AX8" s="82" t="n">
        <v>4</v>
      </c>
      <c r="AY8" s="82" t="n">
        <v>5</v>
      </c>
      <c r="AZ8" s="82" t="n">
        <v>5</v>
      </c>
      <c r="BA8" s="82" t="n">
        <v>5</v>
      </c>
      <c r="BB8" s="82" t="n">
        <v>5</v>
      </c>
      <c r="BC8" s="82" t="n">
        <v>5</v>
      </c>
      <c r="BD8" s="82" t="n">
        <v>5</v>
      </c>
      <c r="BE8" s="82" t="n">
        <v>5</v>
      </c>
      <c r="BF8" s="82" t="n">
        <v>5</v>
      </c>
      <c r="BG8" s="82" t="n">
        <v>5</v>
      </c>
      <c r="BH8" s="82" t="n">
        <v>5</v>
      </c>
      <c r="BI8" s="82" t="n">
        <v>5</v>
      </c>
      <c r="BJ8" s="82" t="n">
        <v>5</v>
      </c>
      <c r="BK8" s="82" t="n">
        <v>6</v>
      </c>
      <c r="BL8" s="82" t="n">
        <v>6</v>
      </c>
      <c r="BM8" s="82" t="n">
        <v>6</v>
      </c>
      <c r="BN8" s="82" t="n">
        <v>6</v>
      </c>
      <c r="BO8" s="82" t="n">
        <v>6</v>
      </c>
      <c r="BP8" s="82" t="n">
        <v>6</v>
      </c>
      <c r="BQ8" s="82" t="n">
        <v>6</v>
      </c>
      <c r="BR8" s="82" t="n">
        <v>6</v>
      </c>
      <c r="BS8" s="82" t="n">
        <v>6</v>
      </c>
      <c r="BT8" s="82" t="n">
        <v>6</v>
      </c>
      <c r="BU8" s="82" t="n">
        <v>6</v>
      </c>
      <c r="BV8" s="82" t="n">
        <v>6</v>
      </c>
      <c r="BW8" s="82" t="n">
        <v>7</v>
      </c>
      <c r="BX8" s="82" t="n">
        <v>7</v>
      </c>
      <c r="BY8" s="82" t="n">
        <v>7</v>
      </c>
      <c r="BZ8" s="82" t="n">
        <v>7</v>
      </c>
      <c r="CA8" s="82" t="n">
        <v>7</v>
      </c>
      <c r="CB8" s="82" t="n">
        <v>7</v>
      </c>
      <c r="CC8" s="82" t="n">
        <v>7</v>
      </c>
      <c r="CD8" s="82" t="n">
        <v>7</v>
      </c>
      <c r="CE8" s="82" t="n">
        <v>7</v>
      </c>
      <c r="CF8" s="82" t="n">
        <v>7</v>
      </c>
      <c r="CG8" s="82" t="n">
        <v>7</v>
      </c>
      <c r="CH8" s="82" t="n">
        <v>7</v>
      </c>
      <c r="CI8" s="82" t="n">
        <v>8</v>
      </c>
      <c r="CJ8" s="82" t="n">
        <v>8</v>
      </c>
      <c r="CK8" s="82" t="n">
        <v>8</v>
      </c>
      <c r="CL8" s="82" t="n">
        <v>8</v>
      </c>
      <c r="CM8" s="82" t="n">
        <v>8</v>
      </c>
      <c r="CN8" s="82" t="n">
        <v>8</v>
      </c>
      <c r="CO8" s="82" t="n">
        <v>8</v>
      </c>
      <c r="CP8" s="82" t="n">
        <v>8</v>
      </c>
      <c r="CQ8" s="82" t="n">
        <v>8</v>
      </c>
      <c r="CR8" s="82" t="n">
        <v>8</v>
      </c>
      <c r="CS8" s="82" t="n">
        <v>8</v>
      </c>
      <c r="CT8" s="82" t="n">
        <v>8</v>
      </c>
    </row>
    <row r="9" customFormat="false" ht="15" hidden="false" customHeight="true" outlineLevel="0" collapsed="false">
      <c r="B9" s="19" t="s">
        <v>691</v>
      </c>
      <c r="C9" s="57" t="n">
        <f aca="false">(Supuestos!$C$50-Supuestos!$C$49)*C7/12</f>
        <v>150524876.24112</v>
      </c>
      <c r="D9" s="57" t="n">
        <f aca="false">(Supuestos!$C$50-Supuestos!$C$49)*D7/12</f>
        <v>150524876.24112</v>
      </c>
      <c r="E9" s="57" t="n">
        <f aca="false">(Supuestos!$C$50-Supuestos!$C$49)*E7/12</f>
        <v>150524876.24112</v>
      </c>
      <c r="F9" s="57" t="n">
        <f aca="false">(Supuestos!$C$50-Supuestos!$C$49)*F7/12</f>
        <v>150524876.24112</v>
      </c>
      <c r="G9" s="57" t="n">
        <f aca="false">(Supuestos!$C$50-Supuestos!$C$49)*G7/12</f>
        <v>150524876.24112</v>
      </c>
      <c r="H9" s="57" t="n">
        <f aca="false">(Supuestos!$C$50-Supuestos!$C$49)*H7/12</f>
        <v>150524876.24112</v>
      </c>
      <c r="I9" s="57" t="n">
        <f aca="false">(Supuestos!$C$50-Supuestos!$C$49)*I7/12</f>
        <v>150524876.24112</v>
      </c>
      <c r="J9" s="57" t="n">
        <f aca="false">(Supuestos!$C$50-Supuestos!$C$49)*J7/12</f>
        <v>150524876.24112</v>
      </c>
      <c r="K9" s="57" t="n">
        <f aca="false">(Supuestos!$C$50-Supuestos!$C$49)*K7/12</f>
        <v>150524876.24112</v>
      </c>
      <c r="L9" s="57" t="n">
        <f aca="false">(Supuestos!$C$50-Supuestos!$C$49)*L7/12</f>
        <v>150524876.24112</v>
      </c>
      <c r="M9" s="57" t="n">
        <f aca="false">(Supuestos!$C$50-Supuestos!$C$49)*M7/12</f>
        <v>150524876.24112</v>
      </c>
      <c r="N9" s="57" t="n">
        <f aca="false">(Supuestos!$C$50-Supuestos!$C$49)*N7/12</f>
        <v>150524876.24112</v>
      </c>
      <c r="O9" s="57" t="n">
        <f aca="false">(Supuestos!$C$50-Supuestos!$C$49)*O7/12</f>
        <v>301049752.48224</v>
      </c>
      <c r="P9" s="57" t="n">
        <f aca="false">(Supuestos!$C$50-Supuestos!$C$49)*P7/12</f>
        <v>301049752.48224</v>
      </c>
      <c r="Q9" s="57" t="n">
        <f aca="false">(Supuestos!$C$50-Supuestos!$C$49)*Q7/12</f>
        <v>301049752.48224</v>
      </c>
      <c r="R9" s="57" t="n">
        <f aca="false">(Supuestos!$C$50-Supuestos!$C$49)*R7/12</f>
        <v>301049752.48224</v>
      </c>
      <c r="S9" s="57" t="n">
        <f aca="false">(Supuestos!$C$50-Supuestos!$C$49)*S7/12</f>
        <v>301049752.48224</v>
      </c>
      <c r="T9" s="57" t="n">
        <f aca="false">(Supuestos!$C$50-Supuestos!$C$49)*T7/12</f>
        <v>301049752.48224</v>
      </c>
      <c r="U9" s="57" t="n">
        <f aca="false">(Supuestos!$C$50-Supuestos!$C$49)*U7/12</f>
        <v>301049752.48224</v>
      </c>
      <c r="V9" s="57" t="n">
        <f aca="false">(Supuestos!$C$50-Supuestos!$C$49)*V7/12</f>
        <v>301049752.48224</v>
      </c>
      <c r="W9" s="57" t="n">
        <f aca="false">(Supuestos!$C$50-Supuestos!$C$49)*W7/12</f>
        <v>301049752.48224</v>
      </c>
      <c r="X9" s="57" t="n">
        <f aca="false">(Supuestos!$C$50-Supuestos!$C$49)*X7/12</f>
        <v>301049752.48224</v>
      </c>
      <c r="Y9" s="57" t="n">
        <f aca="false">(Supuestos!$C$50-Supuestos!$C$49)*Y7/12</f>
        <v>301049752.48224</v>
      </c>
      <c r="Z9" s="57" t="n">
        <f aca="false">(Supuestos!$C$50-Supuestos!$C$49)*Z7/12</f>
        <v>301049752.48224</v>
      </c>
      <c r="AA9" s="57" t="n">
        <f aca="false">(Supuestos!$C$50-Supuestos!$C$49)*AA7/12</f>
        <v>451574628.723359</v>
      </c>
      <c r="AB9" s="57" t="n">
        <f aca="false">(Supuestos!$C$50-Supuestos!$C$49)*AB7/12</f>
        <v>451574628.723359</v>
      </c>
      <c r="AC9" s="57" t="n">
        <f aca="false">(Supuestos!$C$50-Supuestos!$C$49)*AC7/12</f>
        <v>451574628.723359</v>
      </c>
      <c r="AD9" s="57" t="n">
        <f aca="false">(Supuestos!$C$50-Supuestos!$C$49)*AD7/12</f>
        <v>451574628.723359</v>
      </c>
      <c r="AE9" s="57" t="n">
        <f aca="false">(Supuestos!$C$50-Supuestos!$C$49)*AE7/12</f>
        <v>451574628.723359</v>
      </c>
      <c r="AF9" s="57" t="n">
        <f aca="false">(Supuestos!$C$50-Supuestos!$C$49)*AF7/12</f>
        <v>451574628.723359</v>
      </c>
      <c r="AG9" s="57" t="n">
        <f aca="false">(Supuestos!$C$50-Supuestos!$C$49)*AG7/12</f>
        <v>451574628.723359</v>
      </c>
      <c r="AH9" s="57" t="n">
        <f aca="false">(Supuestos!$C$50-Supuestos!$C$49)*AH7/12</f>
        <v>451574628.723359</v>
      </c>
      <c r="AI9" s="57" t="n">
        <f aca="false">(Supuestos!$C$50-Supuestos!$C$49)*AI7/12</f>
        <v>451574628.723359</v>
      </c>
      <c r="AJ9" s="57" t="n">
        <f aca="false">(Supuestos!$C$50-Supuestos!$C$49)*AJ7/12</f>
        <v>451574628.723359</v>
      </c>
      <c r="AK9" s="57" t="n">
        <f aca="false">(Supuestos!$C$50-Supuestos!$C$49)*AK7/12</f>
        <v>451574628.723359</v>
      </c>
      <c r="AL9" s="57" t="n">
        <f aca="false">(Supuestos!$C$50-Supuestos!$C$49)*AL7/12</f>
        <v>451574628.723359</v>
      </c>
      <c r="AM9" s="57" t="n">
        <f aca="false">(Supuestos!$C$50-Supuestos!$C$49)*AM7/12</f>
        <v>602099504.964479</v>
      </c>
      <c r="AN9" s="57" t="n">
        <f aca="false">(Supuestos!$C$50-Supuestos!$C$49)*AN7/12</f>
        <v>602099504.964479</v>
      </c>
      <c r="AO9" s="57" t="n">
        <f aca="false">(Supuestos!$C$50-Supuestos!$C$49)*AO7/12</f>
        <v>602099504.964479</v>
      </c>
      <c r="AP9" s="57" t="n">
        <f aca="false">(Supuestos!$C$50-Supuestos!$C$49)*AP7/12</f>
        <v>602099504.964479</v>
      </c>
      <c r="AQ9" s="57" t="n">
        <f aca="false">(Supuestos!$C$50-Supuestos!$C$49)*AQ7/12</f>
        <v>602099504.964479</v>
      </c>
      <c r="AR9" s="57" t="n">
        <f aca="false">(Supuestos!$C$50-Supuestos!$C$49)*AR7/12</f>
        <v>602099504.964479</v>
      </c>
      <c r="AS9" s="57" t="n">
        <f aca="false">(Supuestos!$C$50-Supuestos!$C$49)*AS7/12</f>
        <v>602099504.964479</v>
      </c>
      <c r="AT9" s="57" t="n">
        <f aca="false">(Supuestos!$C$50-Supuestos!$C$49)*AT7/12</f>
        <v>602099504.964479</v>
      </c>
      <c r="AU9" s="57" t="n">
        <f aca="false">(Supuestos!$C$50-Supuestos!$C$49)*AU7/12</f>
        <v>602099504.964479</v>
      </c>
      <c r="AV9" s="57" t="n">
        <f aca="false">(Supuestos!$C$50-Supuestos!$C$49)*AV7/12</f>
        <v>602099504.964479</v>
      </c>
      <c r="AW9" s="57" t="n">
        <f aca="false">(Supuestos!$C$50-Supuestos!$C$49)*AW7/12</f>
        <v>602099504.964479</v>
      </c>
      <c r="AX9" s="57" t="n">
        <f aca="false">(Supuestos!$C$50-Supuestos!$C$49)*AX7/12</f>
        <v>602099504.964479</v>
      </c>
      <c r="AY9" s="57" t="n">
        <f aca="false">(Supuestos!$C$50-Supuestos!$C$49)*AY7/12</f>
        <v>602099504.964479</v>
      </c>
      <c r="AZ9" s="57" t="n">
        <f aca="false">(Supuestos!$C$50-Supuestos!$C$49)*AZ7/12</f>
        <v>602099504.964479</v>
      </c>
      <c r="BA9" s="57" t="n">
        <f aca="false">(Supuestos!$C$50-Supuestos!$C$49)*BA7/12</f>
        <v>602099504.964479</v>
      </c>
      <c r="BB9" s="57" t="n">
        <f aca="false">(Supuestos!$C$50-Supuestos!$C$49)*BB7/12</f>
        <v>602099504.964479</v>
      </c>
      <c r="BC9" s="57" t="n">
        <f aca="false">(Supuestos!$C$50-Supuestos!$C$49)*BC7/12</f>
        <v>602099504.964479</v>
      </c>
      <c r="BD9" s="57" t="n">
        <f aca="false">(Supuestos!$C$50-Supuestos!$C$49)*BD7/12</f>
        <v>602099504.964479</v>
      </c>
      <c r="BE9" s="57" t="n">
        <f aca="false">(Supuestos!$C$50-Supuestos!$C$49)*BE7/12</f>
        <v>602099504.964479</v>
      </c>
      <c r="BF9" s="57" t="n">
        <f aca="false">(Supuestos!$C$50-Supuestos!$C$49)*BF7/12</f>
        <v>602099504.964479</v>
      </c>
      <c r="BG9" s="57" t="n">
        <f aca="false">(Supuestos!$C$50-Supuestos!$C$49)*BG7/12</f>
        <v>602099504.964479</v>
      </c>
      <c r="BH9" s="57" t="n">
        <f aca="false">(Supuestos!$C$50-Supuestos!$C$49)*BH7/12</f>
        <v>602099504.964479</v>
      </c>
      <c r="BI9" s="57" t="n">
        <f aca="false">(Supuestos!$C$50-Supuestos!$C$49)*BI7/12</f>
        <v>602099504.964479</v>
      </c>
      <c r="BJ9" s="57" t="n">
        <f aca="false">(Supuestos!$C$50-Supuestos!$C$49)*BJ7/12</f>
        <v>602099504.964479</v>
      </c>
      <c r="BK9" s="57" t="n">
        <f aca="false">(Supuestos!$C$50-Supuestos!$C$49)*BK7/12</f>
        <v>602099504.964479</v>
      </c>
      <c r="BL9" s="57" t="n">
        <f aca="false">(Supuestos!$C$50-Supuestos!$C$49)*BL7/12</f>
        <v>602099504.964479</v>
      </c>
      <c r="BM9" s="57" t="n">
        <f aca="false">(Supuestos!$C$50-Supuestos!$C$49)*BM7/12</f>
        <v>602099504.964479</v>
      </c>
      <c r="BN9" s="57" t="n">
        <f aca="false">(Supuestos!$C$50-Supuestos!$C$49)*BN7/12</f>
        <v>602099504.964479</v>
      </c>
      <c r="BO9" s="57" t="n">
        <f aca="false">(Supuestos!$C$50-Supuestos!$C$49)*BO7/12</f>
        <v>602099504.964479</v>
      </c>
      <c r="BP9" s="57" t="n">
        <f aca="false">(Supuestos!$C$50-Supuestos!$C$49)*BP7/12</f>
        <v>602099504.964479</v>
      </c>
      <c r="BQ9" s="57" t="n">
        <f aca="false">(Supuestos!$C$50-Supuestos!$C$49)*BQ7/12</f>
        <v>602099504.964479</v>
      </c>
      <c r="BR9" s="57" t="n">
        <f aca="false">(Supuestos!$C$50-Supuestos!$C$49)*BR7/12</f>
        <v>602099504.964479</v>
      </c>
      <c r="BS9" s="57" t="n">
        <f aca="false">(Supuestos!$C$50-Supuestos!$C$49)*BS7/12</f>
        <v>602099504.964479</v>
      </c>
      <c r="BT9" s="57" t="n">
        <f aca="false">(Supuestos!$C$50-Supuestos!$C$49)*BT7/12</f>
        <v>602099504.964479</v>
      </c>
      <c r="BU9" s="57" t="n">
        <f aca="false">(Supuestos!$C$50-Supuestos!$C$49)*BU7/12</f>
        <v>602099504.964479</v>
      </c>
      <c r="BV9" s="57" t="n">
        <f aca="false">(Supuestos!$C$50-Supuestos!$C$49)*BV7/12</f>
        <v>602099504.964479</v>
      </c>
      <c r="BW9" s="57" t="n">
        <f aca="false">(Supuestos!$C$50-Supuestos!$C$49)*BW7/12</f>
        <v>602099504.964479</v>
      </c>
      <c r="BX9" s="57" t="n">
        <f aca="false">(Supuestos!$C$50-Supuestos!$C$49)*BX7/12</f>
        <v>602099504.964479</v>
      </c>
      <c r="BY9" s="57" t="n">
        <f aca="false">(Supuestos!$C$50-Supuestos!$C$49)*BY7/12</f>
        <v>602099504.964479</v>
      </c>
      <c r="BZ9" s="57" t="n">
        <f aca="false">(Supuestos!$C$50-Supuestos!$C$49)*BZ7/12</f>
        <v>602099504.964479</v>
      </c>
      <c r="CA9" s="57" t="n">
        <f aca="false">(Supuestos!$C$50-Supuestos!$C$49)*CA7/12</f>
        <v>602099504.964479</v>
      </c>
      <c r="CB9" s="57" t="n">
        <f aca="false">(Supuestos!$C$50-Supuestos!$C$49)*CB7/12</f>
        <v>602099504.964479</v>
      </c>
      <c r="CC9" s="57" t="n">
        <f aca="false">(Supuestos!$C$50-Supuestos!$C$49)*CC7/12</f>
        <v>602099504.964479</v>
      </c>
      <c r="CD9" s="57" t="n">
        <f aca="false">(Supuestos!$C$50-Supuestos!$C$49)*CD7/12</f>
        <v>602099504.964479</v>
      </c>
      <c r="CE9" s="57" t="n">
        <f aca="false">(Supuestos!$C$50-Supuestos!$C$49)*CE7/12</f>
        <v>602099504.964479</v>
      </c>
      <c r="CF9" s="57" t="n">
        <f aca="false">(Supuestos!$C$50-Supuestos!$C$49)*CF7/12</f>
        <v>602099504.964479</v>
      </c>
      <c r="CG9" s="57" t="n">
        <f aca="false">(Supuestos!$C$50-Supuestos!$C$49)*CG7/12</f>
        <v>602099504.964479</v>
      </c>
      <c r="CH9" s="57" t="n">
        <f aca="false">(Supuestos!$C$50-Supuestos!$C$49)*CH7/12</f>
        <v>602099504.964479</v>
      </c>
      <c r="CI9" s="57" t="n">
        <f aca="false">(Supuestos!$C$50-Supuestos!$C$49)*CI7/12</f>
        <v>602099504.964479</v>
      </c>
      <c r="CJ9" s="57" t="n">
        <f aca="false">(Supuestos!$C$50-Supuestos!$C$49)*CJ7/12</f>
        <v>602099504.964479</v>
      </c>
      <c r="CK9" s="57" t="n">
        <f aca="false">(Supuestos!$C$50-Supuestos!$C$49)*CK7/12</f>
        <v>602099504.964479</v>
      </c>
      <c r="CL9" s="57" t="n">
        <f aca="false">(Supuestos!$C$50-Supuestos!$C$49)*CL7/12</f>
        <v>602099504.964479</v>
      </c>
      <c r="CM9" s="57" t="n">
        <f aca="false">(Supuestos!$C$50-Supuestos!$C$49)*CM7/12</f>
        <v>602099504.964479</v>
      </c>
      <c r="CN9" s="57" t="n">
        <f aca="false">(Supuestos!$C$50-Supuestos!$C$49)*CN7/12</f>
        <v>602099504.964479</v>
      </c>
      <c r="CO9" s="57" t="n">
        <f aca="false">(Supuestos!$C$50-Supuestos!$C$49)*CO7/12</f>
        <v>602099504.964479</v>
      </c>
      <c r="CP9" s="57" t="n">
        <f aca="false">(Supuestos!$C$50-Supuestos!$C$49)*CP7/12</f>
        <v>602099504.964479</v>
      </c>
      <c r="CQ9" s="57" t="n">
        <f aca="false">(Supuestos!$C$50-Supuestos!$C$49)*CQ7/12</f>
        <v>602099504.964479</v>
      </c>
      <c r="CR9" s="57" t="n">
        <f aca="false">(Supuestos!$C$50-Supuestos!$C$49)*CR7/12</f>
        <v>602099504.964479</v>
      </c>
      <c r="CS9" s="57" t="n">
        <f aca="false">(Supuestos!$C$50-Supuestos!$C$49)*CS7/12</f>
        <v>602099504.964479</v>
      </c>
      <c r="CT9" s="57" t="n">
        <f aca="false">(Supuestos!$C$50-Supuestos!$C$49)*CT7/12</f>
        <v>602099504.964479</v>
      </c>
    </row>
    <row r="10" customFormat="false" ht="15" hidden="false" customHeight="true" outlineLevel="0" collapsed="false">
      <c r="B10" s="19" t="s">
        <v>692</v>
      </c>
      <c r="C10" s="57" t="n">
        <f aca="false">(Supuestos!$C$52*Supuestos!$C$127-Supuestos!$C$51)*MIN(MAX((1-12)/24,0),1)/12+IF(1&lt;=12,Supuestos!$C$238/12,0)</f>
        <v>27916666.6666667</v>
      </c>
      <c r="D10" s="57" t="n">
        <f aca="false">(Supuestos!$C$52*Supuestos!$C$127-Supuestos!$C$51)*MIN(MAX((2-12)/24,0),1)/12+IF(2&lt;=12,Supuestos!$C$238/12,0)</f>
        <v>27916666.6666667</v>
      </c>
      <c r="E10" s="57" t="n">
        <f aca="false">(Supuestos!$C$52*Supuestos!$C$127-Supuestos!$C$51)*MIN(MAX((3-12)/24,0),1)/12+IF(3&lt;=12,Supuestos!$C$238/12,0)</f>
        <v>27916666.6666667</v>
      </c>
      <c r="F10" s="57" t="n">
        <f aca="false">(Supuestos!$C$52*Supuestos!$C$127-Supuestos!$C$51)*MIN(MAX((4-12)/24,0),1)/12+IF(4&lt;=12,Supuestos!$C$238/12,0)</f>
        <v>27916666.6666667</v>
      </c>
      <c r="G10" s="57" t="n">
        <f aca="false">(Supuestos!$C$52*Supuestos!$C$127-Supuestos!$C$51)*MIN(MAX((5-12)/24,0),1)/12+IF(5&lt;=12,Supuestos!$C$238/12,0)</f>
        <v>27916666.6666667</v>
      </c>
      <c r="H10" s="57" t="n">
        <f aca="false">(Supuestos!$C$52*Supuestos!$C$127-Supuestos!$C$51)*MIN(MAX((6-12)/24,0),1)/12+IF(6&lt;=12,Supuestos!$C$238/12,0)</f>
        <v>27916666.6666667</v>
      </c>
      <c r="I10" s="57" t="n">
        <f aca="false">(Supuestos!$C$52*Supuestos!$C$127-Supuestos!$C$51)*MIN(MAX((7-12)/24,0),1)/12+IF(7&lt;=12,Supuestos!$C$238/12,0)</f>
        <v>27916666.6666667</v>
      </c>
      <c r="J10" s="57" t="n">
        <f aca="false">(Supuestos!$C$52*Supuestos!$C$127-Supuestos!$C$51)*MIN(MAX((8-12)/24,0),1)/12+IF(8&lt;=12,Supuestos!$C$238/12,0)</f>
        <v>27916666.6666667</v>
      </c>
      <c r="K10" s="57" t="n">
        <f aca="false">(Supuestos!$C$52*Supuestos!$C$127-Supuestos!$C$51)*MIN(MAX((9-12)/24,0),1)/12+IF(9&lt;=12,Supuestos!$C$238/12,0)</f>
        <v>27916666.6666667</v>
      </c>
      <c r="L10" s="57" t="n">
        <f aca="false">(Supuestos!$C$52*Supuestos!$C$127-Supuestos!$C$51)*MIN(MAX((10-12)/24,0),1)/12+IF(10&lt;=12,Supuestos!$C$238/12,0)</f>
        <v>27916666.6666667</v>
      </c>
      <c r="M10" s="57" t="n">
        <f aca="false">(Supuestos!$C$52*Supuestos!$C$127-Supuestos!$C$51)*MIN(MAX((11-12)/24,0),1)/12+IF(11&lt;=12,Supuestos!$C$238/12,0)</f>
        <v>27916666.6666667</v>
      </c>
      <c r="N10" s="57" t="n">
        <f aca="false">(Supuestos!$C$52*Supuestos!$C$127-Supuestos!$C$51)*MIN(MAX((12-12)/24,0),1)/12+IF(12&lt;=12,Supuestos!$C$238/12,0)</f>
        <v>27916666.6666667</v>
      </c>
      <c r="O10" s="57" t="n">
        <f aca="false">(Supuestos!$C$52*Supuestos!$C$127-Supuestos!$C$51)*MIN(MAX((13-12)/24,0),1)/12+IF(13&lt;=12,Supuestos!$C$238/12,0)</f>
        <v>11994997.6773672</v>
      </c>
      <c r="P10" s="57" t="n">
        <f aca="false">(Supuestos!$C$52*Supuestos!$C$127-Supuestos!$C$51)*MIN(MAX((14-12)/24,0),1)/12+IF(14&lt;=12,Supuestos!$C$238/12,0)</f>
        <v>23989995.3547344</v>
      </c>
      <c r="Q10" s="57" t="n">
        <f aca="false">(Supuestos!$C$52*Supuestos!$C$127-Supuestos!$C$51)*MIN(MAX((15-12)/24,0),1)/12+IF(15&lt;=12,Supuestos!$C$238/12,0)</f>
        <v>35984993.0321016</v>
      </c>
      <c r="R10" s="57" t="n">
        <f aca="false">(Supuestos!$C$52*Supuestos!$C$127-Supuestos!$C$51)*MIN(MAX((16-12)/24,0),1)/12+IF(16&lt;=12,Supuestos!$C$238/12,0)</f>
        <v>47979990.7094687</v>
      </c>
      <c r="S10" s="57" t="n">
        <f aca="false">(Supuestos!$C$52*Supuestos!$C$127-Supuestos!$C$51)*MIN(MAX((17-12)/24,0),1)/12+IF(17&lt;=12,Supuestos!$C$238/12,0)</f>
        <v>59974988.3868359</v>
      </c>
      <c r="T10" s="57" t="n">
        <f aca="false">(Supuestos!$C$52*Supuestos!$C$127-Supuestos!$C$51)*MIN(MAX((18-12)/24,0),1)/12+IF(18&lt;=12,Supuestos!$C$238/12,0)</f>
        <v>71969986.0642031</v>
      </c>
      <c r="U10" s="57" t="n">
        <f aca="false">(Supuestos!$C$52*Supuestos!$C$127-Supuestos!$C$51)*MIN(MAX((19-12)/24,0),1)/12+IF(19&lt;=12,Supuestos!$C$238/12,0)</f>
        <v>83964983.7415703</v>
      </c>
      <c r="V10" s="57" t="n">
        <f aca="false">(Supuestos!$C$52*Supuestos!$C$127-Supuestos!$C$51)*MIN(MAX((20-12)/24,0),1)/12+IF(20&lt;=12,Supuestos!$C$238/12,0)</f>
        <v>95959981.4189375</v>
      </c>
      <c r="W10" s="57" t="n">
        <f aca="false">(Supuestos!$C$52*Supuestos!$C$127-Supuestos!$C$51)*MIN(MAX((21-12)/24,0),1)/12+IF(21&lt;=12,Supuestos!$C$238/12,0)</f>
        <v>107954979.096305</v>
      </c>
      <c r="X10" s="57" t="n">
        <f aca="false">(Supuestos!$C$52*Supuestos!$C$127-Supuestos!$C$51)*MIN(MAX((22-12)/24,0),1)/12+IF(22&lt;=12,Supuestos!$C$238/12,0)</f>
        <v>119949976.773672</v>
      </c>
      <c r="Y10" s="57" t="n">
        <f aca="false">(Supuestos!$C$52*Supuestos!$C$127-Supuestos!$C$51)*MIN(MAX((23-12)/24,0),1)/12+IF(23&lt;=12,Supuestos!$C$238/12,0)</f>
        <v>131944974.451039</v>
      </c>
      <c r="Z10" s="57" t="n">
        <f aca="false">(Supuestos!$C$52*Supuestos!$C$127-Supuestos!$C$51)*MIN(MAX((24-12)/24,0),1)/12+IF(24&lt;=12,Supuestos!$C$238/12,0)</f>
        <v>143939972.128406</v>
      </c>
      <c r="AA10" s="57" t="n">
        <f aca="false">(Supuestos!$C$52*Supuestos!$C$127-Supuestos!$C$51)*MIN(MAX((25-12)/24,0),1)/12+IF(25&lt;=12,Supuestos!$C$238/12,0)</f>
        <v>155934969.805773</v>
      </c>
      <c r="AB10" s="57" t="n">
        <f aca="false">(Supuestos!$C$52*Supuestos!$C$127-Supuestos!$C$51)*MIN(MAX((26-12)/24,0),1)/12+IF(26&lt;=12,Supuestos!$C$238/12,0)</f>
        <v>167929967.483141</v>
      </c>
      <c r="AC10" s="57" t="n">
        <f aca="false">(Supuestos!$C$52*Supuestos!$C$127-Supuestos!$C$51)*MIN(MAX((27-12)/24,0),1)/12+IF(27&lt;=12,Supuestos!$C$238/12,0)</f>
        <v>179924965.160508</v>
      </c>
      <c r="AD10" s="57" t="n">
        <f aca="false">(Supuestos!$C$52*Supuestos!$C$127-Supuestos!$C$51)*MIN(MAX((28-12)/24,0),1)/12+IF(28&lt;=12,Supuestos!$C$238/12,0)</f>
        <v>191919962.837875</v>
      </c>
      <c r="AE10" s="57" t="n">
        <f aca="false">(Supuestos!$C$52*Supuestos!$C$127-Supuestos!$C$51)*MIN(MAX((29-12)/24,0),1)/12+IF(29&lt;=12,Supuestos!$C$238/12,0)</f>
        <v>203914960.515242</v>
      </c>
      <c r="AF10" s="57" t="n">
        <f aca="false">(Supuestos!$C$52*Supuestos!$C$127-Supuestos!$C$51)*MIN(MAX((30-12)/24,0),1)/12+IF(30&lt;=12,Supuestos!$C$238/12,0)</f>
        <v>215909958.192609</v>
      </c>
      <c r="AG10" s="57" t="n">
        <f aca="false">(Supuestos!$C$52*Supuestos!$C$127-Supuestos!$C$51)*MIN(MAX((31-12)/24,0),1)/12+IF(31&lt;=12,Supuestos!$C$238/12,0)</f>
        <v>227904955.869977</v>
      </c>
      <c r="AH10" s="57" t="n">
        <f aca="false">(Supuestos!$C$52*Supuestos!$C$127-Supuestos!$C$51)*MIN(MAX((32-12)/24,0),1)/12+IF(32&lt;=12,Supuestos!$C$238/12,0)</f>
        <v>239899953.547344</v>
      </c>
      <c r="AI10" s="57" t="n">
        <f aca="false">(Supuestos!$C$52*Supuestos!$C$127-Supuestos!$C$51)*MIN(MAX((33-12)/24,0),1)/12+IF(33&lt;=12,Supuestos!$C$238/12,0)</f>
        <v>251894951.224711</v>
      </c>
      <c r="AJ10" s="57" t="n">
        <f aca="false">(Supuestos!$C$52*Supuestos!$C$127-Supuestos!$C$51)*MIN(MAX((34-12)/24,0),1)/12+IF(34&lt;=12,Supuestos!$C$238/12,0)</f>
        <v>263889948.902078</v>
      </c>
      <c r="AK10" s="57" t="n">
        <f aca="false">(Supuestos!$C$52*Supuestos!$C$127-Supuestos!$C$51)*MIN(MAX((35-12)/24,0),1)/12+IF(35&lt;=12,Supuestos!$C$238/12,0)</f>
        <v>275884946.579445</v>
      </c>
      <c r="AL10" s="57" t="n">
        <f aca="false">(Supuestos!$C$52*Supuestos!$C$127-Supuestos!$C$51)*MIN(MAX((36-12)/24,0),1)/12+IF(36&lt;=12,Supuestos!$C$238/12,0)</f>
        <v>287879944.256812</v>
      </c>
      <c r="AM10" s="57" t="n">
        <f aca="false">(Supuestos!$C$52*Supuestos!$C$127-Supuestos!$C$51)*MIN(MAX((37-12)/24,0),1)/12+IF(37&lt;=12,Supuestos!$C$238/12,0)</f>
        <v>287879944.256812</v>
      </c>
      <c r="AN10" s="57" t="n">
        <f aca="false">(Supuestos!$C$52*Supuestos!$C$127-Supuestos!$C$51)*MIN(MAX((38-12)/24,0),1)/12+IF(38&lt;=12,Supuestos!$C$238/12,0)</f>
        <v>287879944.256812</v>
      </c>
      <c r="AO10" s="57" t="n">
        <f aca="false">(Supuestos!$C$52*Supuestos!$C$127-Supuestos!$C$51)*MIN(MAX((39-12)/24,0),1)/12+IF(39&lt;=12,Supuestos!$C$238/12,0)</f>
        <v>287879944.256812</v>
      </c>
      <c r="AP10" s="57" t="n">
        <f aca="false">(Supuestos!$C$52*Supuestos!$C$127-Supuestos!$C$51)*MIN(MAX((40-12)/24,0),1)/12+IF(40&lt;=12,Supuestos!$C$238/12,0)</f>
        <v>287879944.256812</v>
      </c>
      <c r="AQ10" s="57" t="n">
        <f aca="false">(Supuestos!$C$52*Supuestos!$C$127-Supuestos!$C$51)*MIN(MAX((41-12)/24,0),1)/12+IF(41&lt;=12,Supuestos!$C$238/12,0)</f>
        <v>287879944.256812</v>
      </c>
      <c r="AR10" s="57" t="n">
        <f aca="false">(Supuestos!$C$52*Supuestos!$C$127-Supuestos!$C$51)*MIN(MAX((42-12)/24,0),1)/12+IF(42&lt;=12,Supuestos!$C$238/12,0)</f>
        <v>287879944.256812</v>
      </c>
      <c r="AS10" s="57" t="n">
        <f aca="false">(Supuestos!$C$52*Supuestos!$C$127-Supuestos!$C$51)*MIN(MAX((43-12)/24,0),1)/12+IF(43&lt;=12,Supuestos!$C$238/12,0)</f>
        <v>287879944.256812</v>
      </c>
      <c r="AT10" s="57" t="n">
        <f aca="false">(Supuestos!$C$52*Supuestos!$C$127-Supuestos!$C$51)*MIN(MAX((44-12)/24,0),1)/12+IF(44&lt;=12,Supuestos!$C$238/12,0)</f>
        <v>287879944.256812</v>
      </c>
      <c r="AU10" s="57" t="n">
        <f aca="false">(Supuestos!$C$52*Supuestos!$C$127-Supuestos!$C$51)*MIN(MAX((45-12)/24,0),1)/12+IF(45&lt;=12,Supuestos!$C$238/12,0)</f>
        <v>287879944.256812</v>
      </c>
      <c r="AV10" s="57" t="n">
        <f aca="false">(Supuestos!$C$52*Supuestos!$C$127-Supuestos!$C$51)*MIN(MAX((46-12)/24,0),1)/12+IF(46&lt;=12,Supuestos!$C$238/12,0)</f>
        <v>287879944.256812</v>
      </c>
      <c r="AW10" s="57" t="n">
        <f aca="false">(Supuestos!$C$52*Supuestos!$C$127-Supuestos!$C$51)*MIN(MAX((47-12)/24,0),1)/12+IF(47&lt;=12,Supuestos!$C$238/12,0)</f>
        <v>287879944.256812</v>
      </c>
      <c r="AX10" s="57" t="n">
        <f aca="false">(Supuestos!$C$52*Supuestos!$C$127-Supuestos!$C$51)*MIN(MAX((48-12)/24,0),1)/12+IF(48&lt;=12,Supuestos!$C$238/12,0)</f>
        <v>287879944.256812</v>
      </c>
      <c r="AY10" s="57" t="n">
        <f aca="false">(Supuestos!$C$52*Supuestos!$C$127-Supuestos!$C$51)*MIN(MAX((49-12)/24,0),1)/12+IF(49&lt;=12,Supuestos!$C$238/12,0)</f>
        <v>287879944.256812</v>
      </c>
      <c r="AZ10" s="57" t="n">
        <f aca="false">(Supuestos!$C$52*Supuestos!$C$127-Supuestos!$C$51)*MIN(MAX((50-12)/24,0),1)/12+IF(50&lt;=12,Supuestos!$C$238/12,0)</f>
        <v>287879944.256812</v>
      </c>
      <c r="BA10" s="57" t="n">
        <f aca="false">(Supuestos!$C$52*Supuestos!$C$127-Supuestos!$C$51)*MIN(MAX((51-12)/24,0),1)/12+IF(51&lt;=12,Supuestos!$C$238/12,0)</f>
        <v>287879944.256812</v>
      </c>
      <c r="BB10" s="57" t="n">
        <f aca="false">(Supuestos!$C$52*Supuestos!$C$127-Supuestos!$C$51)*MIN(MAX((52-12)/24,0),1)/12+IF(52&lt;=12,Supuestos!$C$238/12,0)</f>
        <v>287879944.256812</v>
      </c>
      <c r="BC10" s="57" t="n">
        <f aca="false">(Supuestos!$C$52*Supuestos!$C$127-Supuestos!$C$51)*MIN(MAX((53-12)/24,0),1)/12+IF(53&lt;=12,Supuestos!$C$238/12,0)</f>
        <v>287879944.256812</v>
      </c>
      <c r="BD10" s="57" t="n">
        <f aca="false">(Supuestos!$C$52*Supuestos!$C$127-Supuestos!$C$51)*MIN(MAX((54-12)/24,0),1)/12+IF(54&lt;=12,Supuestos!$C$238/12,0)</f>
        <v>287879944.256812</v>
      </c>
      <c r="BE10" s="57" t="n">
        <f aca="false">(Supuestos!$C$52*Supuestos!$C$127-Supuestos!$C$51)*MIN(MAX((55-12)/24,0),1)/12+IF(55&lt;=12,Supuestos!$C$238/12,0)</f>
        <v>287879944.256812</v>
      </c>
      <c r="BF10" s="57" t="n">
        <f aca="false">(Supuestos!$C$52*Supuestos!$C$127-Supuestos!$C$51)*MIN(MAX((56-12)/24,0),1)/12+IF(56&lt;=12,Supuestos!$C$238/12,0)</f>
        <v>287879944.256812</v>
      </c>
      <c r="BG10" s="57" t="n">
        <f aca="false">(Supuestos!$C$52*Supuestos!$C$127-Supuestos!$C$51)*MIN(MAX((57-12)/24,0),1)/12+IF(57&lt;=12,Supuestos!$C$238/12,0)</f>
        <v>287879944.256812</v>
      </c>
      <c r="BH10" s="57" t="n">
        <f aca="false">(Supuestos!$C$52*Supuestos!$C$127-Supuestos!$C$51)*MIN(MAX((58-12)/24,0),1)/12+IF(58&lt;=12,Supuestos!$C$238/12,0)</f>
        <v>287879944.256812</v>
      </c>
      <c r="BI10" s="57" t="n">
        <f aca="false">(Supuestos!$C$52*Supuestos!$C$127-Supuestos!$C$51)*MIN(MAX((59-12)/24,0),1)/12+IF(59&lt;=12,Supuestos!$C$238/12,0)</f>
        <v>287879944.256812</v>
      </c>
      <c r="BJ10" s="57" t="n">
        <f aca="false">(Supuestos!$C$52*Supuestos!$C$127-Supuestos!$C$51)*MIN(MAX((60-12)/24,0),1)/12+IF(60&lt;=12,Supuestos!$C$238/12,0)</f>
        <v>287879944.256812</v>
      </c>
      <c r="BK10" s="57" t="n">
        <f aca="false">(Supuestos!$C$52*Supuestos!$C$127-Supuestos!$C$51)*MIN(MAX((61-12)/24,0),1)/12+IF(61&lt;=12,Supuestos!$C$238/12,0)</f>
        <v>287879944.256812</v>
      </c>
      <c r="BL10" s="57" t="n">
        <f aca="false">(Supuestos!$C$52*Supuestos!$C$127-Supuestos!$C$51)*MIN(MAX((62-12)/24,0),1)/12+IF(62&lt;=12,Supuestos!$C$238/12,0)</f>
        <v>287879944.256812</v>
      </c>
      <c r="BM10" s="57" t="n">
        <f aca="false">(Supuestos!$C$52*Supuestos!$C$127-Supuestos!$C$51)*MIN(MAX((63-12)/24,0),1)/12+IF(63&lt;=12,Supuestos!$C$238/12,0)</f>
        <v>287879944.256812</v>
      </c>
      <c r="BN10" s="57" t="n">
        <f aca="false">(Supuestos!$C$52*Supuestos!$C$127-Supuestos!$C$51)*MIN(MAX((64-12)/24,0),1)/12+IF(64&lt;=12,Supuestos!$C$238/12,0)</f>
        <v>287879944.256812</v>
      </c>
      <c r="BO10" s="57" t="n">
        <f aca="false">(Supuestos!$C$52*Supuestos!$C$127-Supuestos!$C$51)*MIN(MAX((65-12)/24,0),1)/12+IF(65&lt;=12,Supuestos!$C$238/12,0)</f>
        <v>287879944.256812</v>
      </c>
      <c r="BP10" s="57" t="n">
        <f aca="false">(Supuestos!$C$52*Supuestos!$C$127-Supuestos!$C$51)*MIN(MAX((66-12)/24,0),1)/12+IF(66&lt;=12,Supuestos!$C$238/12,0)</f>
        <v>287879944.256812</v>
      </c>
      <c r="BQ10" s="57" t="n">
        <f aca="false">(Supuestos!$C$52*Supuestos!$C$127-Supuestos!$C$51)*MIN(MAX((67-12)/24,0),1)/12+IF(67&lt;=12,Supuestos!$C$238/12,0)</f>
        <v>287879944.256812</v>
      </c>
      <c r="BR10" s="57" t="n">
        <f aca="false">(Supuestos!$C$52*Supuestos!$C$127-Supuestos!$C$51)*MIN(MAX((68-12)/24,0),1)/12+IF(68&lt;=12,Supuestos!$C$238/12,0)</f>
        <v>287879944.256812</v>
      </c>
      <c r="BS10" s="57" t="n">
        <f aca="false">(Supuestos!$C$52*Supuestos!$C$127-Supuestos!$C$51)*MIN(MAX((69-12)/24,0),1)/12+IF(69&lt;=12,Supuestos!$C$238/12,0)</f>
        <v>287879944.256812</v>
      </c>
      <c r="BT10" s="57" t="n">
        <f aca="false">(Supuestos!$C$52*Supuestos!$C$127-Supuestos!$C$51)*MIN(MAX((70-12)/24,0),1)/12+IF(70&lt;=12,Supuestos!$C$238/12,0)</f>
        <v>287879944.256812</v>
      </c>
      <c r="BU10" s="57" t="n">
        <f aca="false">(Supuestos!$C$52*Supuestos!$C$127-Supuestos!$C$51)*MIN(MAX((71-12)/24,0),1)/12+IF(71&lt;=12,Supuestos!$C$238/12,0)</f>
        <v>287879944.256812</v>
      </c>
      <c r="BV10" s="57" t="n">
        <f aca="false">(Supuestos!$C$52*Supuestos!$C$127-Supuestos!$C$51)*MIN(MAX((72-12)/24,0),1)/12+IF(72&lt;=12,Supuestos!$C$238/12,0)</f>
        <v>287879944.256812</v>
      </c>
      <c r="BW10" s="57" t="n">
        <f aca="false">(Supuestos!$C$52*Supuestos!$C$127-Supuestos!$C$51)*MIN(MAX((73-12)/24,0),1)/12+IF(73&lt;=12,Supuestos!$C$238/12,0)</f>
        <v>287879944.256812</v>
      </c>
      <c r="BX10" s="57" t="n">
        <f aca="false">(Supuestos!$C$52*Supuestos!$C$127-Supuestos!$C$51)*MIN(MAX((74-12)/24,0),1)/12+IF(74&lt;=12,Supuestos!$C$238/12,0)</f>
        <v>287879944.256812</v>
      </c>
      <c r="BY10" s="57" t="n">
        <f aca="false">(Supuestos!$C$52*Supuestos!$C$127-Supuestos!$C$51)*MIN(MAX((75-12)/24,0),1)/12+IF(75&lt;=12,Supuestos!$C$238/12,0)</f>
        <v>287879944.256812</v>
      </c>
      <c r="BZ10" s="57" t="n">
        <f aca="false">(Supuestos!$C$52*Supuestos!$C$127-Supuestos!$C$51)*MIN(MAX((76-12)/24,0),1)/12+IF(76&lt;=12,Supuestos!$C$238/12,0)</f>
        <v>287879944.256812</v>
      </c>
      <c r="CA10" s="57" t="n">
        <f aca="false">(Supuestos!$C$52*Supuestos!$C$127-Supuestos!$C$51)*MIN(MAX((77-12)/24,0),1)/12+IF(77&lt;=12,Supuestos!$C$238/12,0)</f>
        <v>287879944.256812</v>
      </c>
      <c r="CB10" s="57" t="n">
        <f aca="false">(Supuestos!$C$52*Supuestos!$C$127-Supuestos!$C$51)*MIN(MAX((78-12)/24,0),1)/12+IF(78&lt;=12,Supuestos!$C$238/12,0)</f>
        <v>287879944.256812</v>
      </c>
      <c r="CC10" s="57" t="n">
        <f aca="false">(Supuestos!$C$52*Supuestos!$C$127-Supuestos!$C$51)*MIN(MAX((79-12)/24,0),1)/12+IF(79&lt;=12,Supuestos!$C$238/12,0)</f>
        <v>287879944.256812</v>
      </c>
      <c r="CD10" s="57" t="n">
        <f aca="false">(Supuestos!$C$52*Supuestos!$C$127-Supuestos!$C$51)*MIN(MAX((80-12)/24,0),1)/12+IF(80&lt;=12,Supuestos!$C$238/12,0)</f>
        <v>287879944.256812</v>
      </c>
      <c r="CE10" s="57" t="n">
        <f aca="false">(Supuestos!$C$52*Supuestos!$C$127-Supuestos!$C$51)*MIN(MAX((81-12)/24,0),1)/12+IF(81&lt;=12,Supuestos!$C$238/12,0)</f>
        <v>287879944.256812</v>
      </c>
      <c r="CF10" s="57" t="n">
        <f aca="false">(Supuestos!$C$52*Supuestos!$C$127-Supuestos!$C$51)*MIN(MAX((82-12)/24,0),1)/12+IF(82&lt;=12,Supuestos!$C$238/12,0)</f>
        <v>287879944.256812</v>
      </c>
      <c r="CG10" s="57" t="n">
        <f aca="false">(Supuestos!$C$52*Supuestos!$C$127-Supuestos!$C$51)*MIN(MAX((83-12)/24,0),1)/12+IF(83&lt;=12,Supuestos!$C$238/12,0)</f>
        <v>287879944.256812</v>
      </c>
      <c r="CH10" s="57" t="n">
        <f aca="false">(Supuestos!$C$52*Supuestos!$C$127-Supuestos!$C$51)*MIN(MAX((84-12)/24,0),1)/12+IF(84&lt;=12,Supuestos!$C$238/12,0)</f>
        <v>287879944.256812</v>
      </c>
      <c r="CI10" s="57" t="n">
        <f aca="false">(Supuestos!$C$52*Supuestos!$C$127-Supuestos!$C$51)*MIN(MAX((85-12)/24,0),1)/12+IF(85&lt;=12,Supuestos!$C$238/12,0)</f>
        <v>287879944.256812</v>
      </c>
      <c r="CJ10" s="57" t="n">
        <f aca="false">(Supuestos!$C$52*Supuestos!$C$127-Supuestos!$C$51)*MIN(MAX((86-12)/24,0),1)/12+IF(86&lt;=12,Supuestos!$C$238/12,0)</f>
        <v>287879944.256812</v>
      </c>
      <c r="CK10" s="57" t="n">
        <f aca="false">(Supuestos!$C$52*Supuestos!$C$127-Supuestos!$C$51)*MIN(MAX((87-12)/24,0),1)/12+IF(87&lt;=12,Supuestos!$C$238/12,0)</f>
        <v>287879944.256812</v>
      </c>
      <c r="CL10" s="57" t="n">
        <f aca="false">(Supuestos!$C$52*Supuestos!$C$127-Supuestos!$C$51)*MIN(MAX((88-12)/24,0),1)/12+IF(88&lt;=12,Supuestos!$C$238/12,0)</f>
        <v>287879944.256812</v>
      </c>
      <c r="CM10" s="57" t="n">
        <f aca="false">(Supuestos!$C$52*Supuestos!$C$127-Supuestos!$C$51)*MIN(MAX((89-12)/24,0),1)/12+IF(89&lt;=12,Supuestos!$C$238/12,0)</f>
        <v>287879944.256812</v>
      </c>
      <c r="CN10" s="57" t="n">
        <f aca="false">(Supuestos!$C$52*Supuestos!$C$127-Supuestos!$C$51)*MIN(MAX((90-12)/24,0),1)/12+IF(90&lt;=12,Supuestos!$C$238/12,0)</f>
        <v>287879944.256812</v>
      </c>
      <c r="CO10" s="57" t="n">
        <f aca="false">(Supuestos!$C$52*Supuestos!$C$127-Supuestos!$C$51)*MIN(MAX((91-12)/24,0),1)/12+IF(91&lt;=12,Supuestos!$C$238/12,0)</f>
        <v>287879944.256812</v>
      </c>
      <c r="CP10" s="57" t="n">
        <f aca="false">(Supuestos!$C$52*Supuestos!$C$127-Supuestos!$C$51)*MIN(MAX((92-12)/24,0),1)/12+IF(92&lt;=12,Supuestos!$C$238/12,0)</f>
        <v>287879944.256812</v>
      </c>
      <c r="CQ10" s="57" t="n">
        <f aca="false">(Supuestos!$C$52*Supuestos!$C$127-Supuestos!$C$51)*MIN(MAX((93-12)/24,0),1)/12+IF(93&lt;=12,Supuestos!$C$238/12,0)</f>
        <v>287879944.256812</v>
      </c>
      <c r="CR10" s="57" t="n">
        <f aca="false">(Supuestos!$C$52*Supuestos!$C$127-Supuestos!$C$51)*MIN(MAX((94-12)/24,0),1)/12+IF(94&lt;=12,Supuestos!$C$238/12,0)</f>
        <v>287879944.256812</v>
      </c>
      <c r="CS10" s="57" t="n">
        <f aca="false">(Supuestos!$C$52*Supuestos!$C$127-Supuestos!$C$51)*MIN(MAX((95-12)/24,0),1)/12+IF(95&lt;=12,Supuestos!$C$238/12,0)</f>
        <v>287879944.256812</v>
      </c>
      <c r="CT10" s="57" t="n">
        <f aca="false">(Supuestos!$C$52*Supuestos!$C$127-Supuestos!$C$51)*MIN(MAX((96-12)/24,0),1)/12+IF(96&lt;=12,Supuestos!$C$238/12,0)</f>
        <v>287879944.256812</v>
      </c>
    </row>
    <row r="11" customFormat="false" ht="15" hidden="false" customHeight="true" outlineLevel="0" collapsed="false">
      <c r="B11" s="19" t="s">
        <v>693</v>
      </c>
      <c r="C11" s="57" t="n">
        <f aca="false">Supuestos!$C$53*IF(1&gt;=12,1,0)/12</f>
        <v>0</v>
      </c>
      <c r="D11" s="57" t="n">
        <f aca="false">Supuestos!$C$53*IF(2&gt;=12,1,0)/12</f>
        <v>0</v>
      </c>
      <c r="E11" s="57" t="n">
        <f aca="false">Supuestos!$C$53*IF(3&gt;=12,1,0)/12</f>
        <v>0</v>
      </c>
      <c r="F11" s="57" t="n">
        <f aca="false">Supuestos!$C$53*IF(4&gt;=12,1,0)/12</f>
        <v>0</v>
      </c>
      <c r="G11" s="57" t="n">
        <f aca="false">Supuestos!$C$53*IF(5&gt;=12,1,0)/12</f>
        <v>0</v>
      </c>
      <c r="H11" s="57" t="n">
        <f aca="false">Supuestos!$C$53*IF(6&gt;=12,1,0)/12</f>
        <v>0</v>
      </c>
      <c r="I11" s="57" t="n">
        <f aca="false">Supuestos!$C$53*IF(7&gt;=12,1,0)/12</f>
        <v>0</v>
      </c>
      <c r="J11" s="57" t="n">
        <f aca="false">Supuestos!$C$53*IF(8&gt;=12,1,0)/12</f>
        <v>0</v>
      </c>
      <c r="K11" s="57" t="n">
        <f aca="false">Supuestos!$C$53*IF(9&gt;=12,1,0)/12</f>
        <v>0</v>
      </c>
      <c r="L11" s="57" t="n">
        <f aca="false">Supuestos!$C$53*IF(10&gt;=12,1,0)/12</f>
        <v>0</v>
      </c>
      <c r="M11" s="57" t="n">
        <f aca="false">Supuestos!$C$53*IF(11&gt;=12,1,0)/12</f>
        <v>0</v>
      </c>
      <c r="N11" s="57" t="n">
        <f aca="false">Supuestos!$C$53*IF(12&gt;=12,1,0)/12</f>
        <v>172000000</v>
      </c>
      <c r="O11" s="57" t="n">
        <f aca="false">Supuestos!$C$53*IF(13&gt;=12,1,0)/12</f>
        <v>172000000</v>
      </c>
      <c r="P11" s="57" t="n">
        <f aca="false">Supuestos!$C$53*IF(14&gt;=12,1,0)/12</f>
        <v>172000000</v>
      </c>
      <c r="Q11" s="57" t="n">
        <f aca="false">Supuestos!$C$53*IF(15&gt;=12,1,0)/12</f>
        <v>172000000</v>
      </c>
      <c r="R11" s="57" t="n">
        <f aca="false">Supuestos!$C$53*IF(16&gt;=12,1,0)/12</f>
        <v>172000000</v>
      </c>
      <c r="S11" s="57" t="n">
        <f aca="false">Supuestos!$C$53*IF(17&gt;=12,1,0)/12</f>
        <v>172000000</v>
      </c>
      <c r="T11" s="57" t="n">
        <f aca="false">Supuestos!$C$53*IF(18&gt;=12,1,0)/12</f>
        <v>172000000</v>
      </c>
      <c r="U11" s="57" t="n">
        <f aca="false">Supuestos!$C$53*IF(19&gt;=12,1,0)/12</f>
        <v>172000000</v>
      </c>
      <c r="V11" s="57" t="n">
        <f aca="false">Supuestos!$C$53*IF(20&gt;=12,1,0)/12</f>
        <v>172000000</v>
      </c>
      <c r="W11" s="57" t="n">
        <f aca="false">Supuestos!$C$53*IF(21&gt;=12,1,0)/12</f>
        <v>172000000</v>
      </c>
      <c r="X11" s="57" t="n">
        <f aca="false">Supuestos!$C$53*IF(22&gt;=12,1,0)/12</f>
        <v>172000000</v>
      </c>
      <c r="Y11" s="57" t="n">
        <f aca="false">Supuestos!$C$53*IF(23&gt;=12,1,0)/12</f>
        <v>172000000</v>
      </c>
      <c r="Z11" s="57" t="n">
        <f aca="false">Supuestos!$C$53*IF(24&gt;=12,1,0)/12</f>
        <v>172000000</v>
      </c>
      <c r="AA11" s="57" t="n">
        <f aca="false">Supuestos!$C$53*IF(25&gt;=12,1,0)/12</f>
        <v>172000000</v>
      </c>
      <c r="AB11" s="57" t="n">
        <f aca="false">Supuestos!$C$53*IF(26&gt;=12,1,0)/12</f>
        <v>172000000</v>
      </c>
      <c r="AC11" s="57" t="n">
        <f aca="false">Supuestos!$C$53*IF(27&gt;=12,1,0)/12</f>
        <v>172000000</v>
      </c>
      <c r="AD11" s="57" t="n">
        <f aca="false">Supuestos!$C$53*IF(28&gt;=12,1,0)/12</f>
        <v>172000000</v>
      </c>
      <c r="AE11" s="57" t="n">
        <f aca="false">Supuestos!$C$53*IF(29&gt;=12,1,0)/12</f>
        <v>172000000</v>
      </c>
      <c r="AF11" s="57" t="n">
        <f aca="false">Supuestos!$C$53*IF(30&gt;=12,1,0)/12</f>
        <v>172000000</v>
      </c>
      <c r="AG11" s="57" t="n">
        <f aca="false">Supuestos!$C$53*IF(31&gt;=12,1,0)/12</f>
        <v>172000000</v>
      </c>
      <c r="AH11" s="57" t="n">
        <f aca="false">Supuestos!$C$53*IF(32&gt;=12,1,0)/12</f>
        <v>172000000</v>
      </c>
      <c r="AI11" s="57" t="n">
        <f aca="false">Supuestos!$C$53*IF(33&gt;=12,1,0)/12</f>
        <v>172000000</v>
      </c>
      <c r="AJ11" s="57" t="n">
        <f aca="false">Supuestos!$C$53*IF(34&gt;=12,1,0)/12</f>
        <v>172000000</v>
      </c>
      <c r="AK11" s="57" t="n">
        <f aca="false">Supuestos!$C$53*IF(35&gt;=12,1,0)/12</f>
        <v>172000000</v>
      </c>
      <c r="AL11" s="57" t="n">
        <f aca="false">Supuestos!$C$53*IF(36&gt;=12,1,0)/12</f>
        <v>172000000</v>
      </c>
      <c r="AM11" s="57" t="n">
        <f aca="false">Supuestos!$C$53*IF(37&gt;=12,1,0)/12</f>
        <v>172000000</v>
      </c>
      <c r="AN11" s="57" t="n">
        <f aca="false">Supuestos!$C$53*IF(38&gt;=12,1,0)/12</f>
        <v>172000000</v>
      </c>
      <c r="AO11" s="57" t="n">
        <f aca="false">Supuestos!$C$53*IF(39&gt;=12,1,0)/12</f>
        <v>172000000</v>
      </c>
      <c r="AP11" s="57" t="n">
        <f aca="false">Supuestos!$C$53*IF(40&gt;=12,1,0)/12</f>
        <v>172000000</v>
      </c>
      <c r="AQ11" s="57" t="n">
        <f aca="false">Supuestos!$C$53*IF(41&gt;=12,1,0)/12</f>
        <v>172000000</v>
      </c>
      <c r="AR11" s="57" t="n">
        <f aca="false">Supuestos!$C$53*IF(42&gt;=12,1,0)/12</f>
        <v>172000000</v>
      </c>
      <c r="AS11" s="57" t="n">
        <f aca="false">Supuestos!$C$53*IF(43&gt;=12,1,0)/12</f>
        <v>172000000</v>
      </c>
      <c r="AT11" s="57" t="n">
        <f aca="false">Supuestos!$C$53*IF(44&gt;=12,1,0)/12</f>
        <v>172000000</v>
      </c>
      <c r="AU11" s="57" t="n">
        <f aca="false">Supuestos!$C$53*IF(45&gt;=12,1,0)/12</f>
        <v>172000000</v>
      </c>
      <c r="AV11" s="57" t="n">
        <f aca="false">Supuestos!$C$53*IF(46&gt;=12,1,0)/12</f>
        <v>172000000</v>
      </c>
      <c r="AW11" s="57" t="n">
        <f aca="false">Supuestos!$C$53*IF(47&gt;=12,1,0)/12</f>
        <v>172000000</v>
      </c>
      <c r="AX11" s="57" t="n">
        <f aca="false">Supuestos!$C$53*IF(48&gt;=12,1,0)/12</f>
        <v>172000000</v>
      </c>
      <c r="AY11" s="57" t="n">
        <f aca="false">Supuestos!$C$53*IF(49&gt;=12,1,0)/12</f>
        <v>172000000</v>
      </c>
      <c r="AZ11" s="57" t="n">
        <f aca="false">Supuestos!$C$53*IF(50&gt;=12,1,0)/12</f>
        <v>172000000</v>
      </c>
      <c r="BA11" s="57" t="n">
        <f aca="false">Supuestos!$C$53*IF(51&gt;=12,1,0)/12</f>
        <v>172000000</v>
      </c>
      <c r="BB11" s="57" t="n">
        <f aca="false">Supuestos!$C$53*IF(52&gt;=12,1,0)/12</f>
        <v>172000000</v>
      </c>
      <c r="BC11" s="57" t="n">
        <f aca="false">Supuestos!$C$53*IF(53&gt;=12,1,0)/12</f>
        <v>172000000</v>
      </c>
      <c r="BD11" s="57" t="n">
        <f aca="false">Supuestos!$C$53*IF(54&gt;=12,1,0)/12</f>
        <v>172000000</v>
      </c>
      <c r="BE11" s="57" t="n">
        <f aca="false">Supuestos!$C$53*IF(55&gt;=12,1,0)/12</f>
        <v>172000000</v>
      </c>
      <c r="BF11" s="57" t="n">
        <f aca="false">Supuestos!$C$53*IF(56&gt;=12,1,0)/12</f>
        <v>172000000</v>
      </c>
      <c r="BG11" s="57" t="n">
        <f aca="false">Supuestos!$C$53*IF(57&gt;=12,1,0)/12</f>
        <v>172000000</v>
      </c>
      <c r="BH11" s="57" t="n">
        <f aca="false">Supuestos!$C$53*IF(58&gt;=12,1,0)/12</f>
        <v>172000000</v>
      </c>
      <c r="BI11" s="57" t="n">
        <f aca="false">Supuestos!$C$53*IF(59&gt;=12,1,0)/12</f>
        <v>172000000</v>
      </c>
      <c r="BJ11" s="57" t="n">
        <f aca="false">Supuestos!$C$53*IF(60&gt;=12,1,0)/12</f>
        <v>172000000</v>
      </c>
      <c r="BK11" s="57" t="n">
        <f aca="false">Supuestos!$C$53*IF(61&gt;=12,1,0)/12</f>
        <v>172000000</v>
      </c>
      <c r="BL11" s="57" t="n">
        <f aca="false">Supuestos!$C$53*IF(62&gt;=12,1,0)/12</f>
        <v>172000000</v>
      </c>
      <c r="BM11" s="57" t="n">
        <f aca="false">Supuestos!$C$53*IF(63&gt;=12,1,0)/12</f>
        <v>172000000</v>
      </c>
      <c r="BN11" s="57" t="n">
        <f aca="false">Supuestos!$C$53*IF(64&gt;=12,1,0)/12</f>
        <v>172000000</v>
      </c>
      <c r="BO11" s="57" t="n">
        <f aca="false">Supuestos!$C$53*IF(65&gt;=12,1,0)/12</f>
        <v>172000000</v>
      </c>
      <c r="BP11" s="57" t="n">
        <f aca="false">Supuestos!$C$53*IF(66&gt;=12,1,0)/12</f>
        <v>172000000</v>
      </c>
      <c r="BQ11" s="57" t="n">
        <f aca="false">Supuestos!$C$53*IF(67&gt;=12,1,0)/12</f>
        <v>172000000</v>
      </c>
      <c r="BR11" s="57" t="n">
        <f aca="false">Supuestos!$C$53*IF(68&gt;=12,1,0)/12</f>
        <v>172000000</v>
      </c>
      <c r="BS11" s="57" t="n">
        <f aca="false">Supuestos!$C$53*IF(69&gt;=12,1,0)/12</f>
        <v>172000000</v>
      </c>
      <c r="BT11" s="57" t="n">
        <f aca="false">Supuestos!$C$53*IF(70&gt;=12,1,0)/12</f>
        <v>172000000</v>
      </c>
      <c r="BU11" s="57" t="n">
        <f aca="false">Supuestos!$C$53*IF(71&gt;=12,1,0)/12</f>
        <v>172000000</v>
      </c>
      <c r="BV11" s="57" t="n">
        <f aca="false">Supuestos!$C$53*IF(72&gt;=12,1,0)/12</f>
        <v>172000000</v>
      </c>
      <c r="BW11" s="57" t="n">
        <f aca="false">Supuestos!$C$53*IF(73&gt;=12,1,0)/12</f>
        <v>172000000</v>
      </c>
      <c r="BX11" s="57" t="n">
        <f aca="false">Supuestos!$C$53*IF(74&gt;=12,1,0)/12</f>
        <v>172000000</v>
      </c>
      <c r="BY11" s="57" t="n">
        <f aca="false">Supuestos!$C$53*IF(75&gt;=12,1,0)/12</f>
        <v>172000000</v>
      </c>
      <c r="BZ11" s="57" t="n">
        <f aca="false">Supuestos!$C$53*IF(76&gt;=12,1,0)/12</f>
        <v>172000000</v>
      </c>
      <c r="CA11" s="57" t="n">
        <f aca="false">Supuestos!$C$53*IF(77&gt;=12,1,0)/12</f>
        <v>172000000</v>
      </c>
      <c r="CB11" s="57" t="n">
        <f aca="false">Supuestos!$C$53*IF(78&gt;=12,1,0)/12</f>
        <v>172000000</v>
      </c>
      <c r="CC11" s="57" t="n">
        <f aca="false">Supuestos!$C$53*IF(79&gt;=12,1,0)/12</f>
        <v>172000000</v>
      </c>
      <c r="CD11" s="57" t="n">
        <f aca="false">Supuestos!$C$53*IF(80&gt;=12,1,0)/12</f>
        <v>172000000</v>
      </c>
      <c r="CE11" s="57" t="n">
        <f aca="false">Supuestos!$C$53*IF(81&gt;=12,1,0)/12</f>
        <v>172000000</v>
      </c>
      <c r="CF11" s="57" t="n">
        <f aca="false">Supuestos!$C$53*IF(82&gt;=12,1,0)/12</f>
        <v>172000000</v>
      </c>
      <c r="CG11" s="57" t="n">
        <f aca="false">Supuestos!$C$53*IF(83&gt;=12,1,0)/12</f>
        <v>172000000</v>
      </c>
      <c r="CH11" s="57" t="n">
        <f aca="false">Supuestos!$C$53*IF(84&gt;=12,1,0)/12</f>
        <v>172000000</v>
      </c>
      <c r="CI11" s="57" t="n">
        <f aca="false">Supuestos!$C$53*IF(85&gt;=12,1,0)/12</f>
        <v>172000000</v>
      </c>
      <c r="CJ11" s="57" t="n">
        <f aca="false">Supuestos!$C$53*IF(86&gt;=12,1,0)/12</f>
        <v>172000000</v>
      </c>
      <c r="CK11" s="57" t="n">
        <f aca="false">Supuestos!$C$53*IF(87&gt;=12,1,0)/12</f>
        <v>172000000</v>
      </c>
      <c r="CL11" s="57" t="n">
        <f aca="false">Supuestos!$C$53*IF(88&gt;=12,1,0)/12</f>
        <v>172000000</v>
      </c>
      <c r="CM11" s="57" t="n">
        <f aca="false">Supuestos!$C$53*IF(89&gt;=12,1,0)/12</f>
        <v>172000000</v>
      </c>
      <c r="CN11" s="57" t="n">
        <f aca="false">Supuestos!$C$53*IF(90&gt;=12,1,0)/12</f>
        <v>172000000</v>
      </c>
      <c r="CO11" s="57" t="n">
        <f aca="false">Supuestos!$C$53*IF(91&gt;=12,1,0)/12</f>
        <v>172000000</v>
      </c>
      <c r="CP11" s="57" t="n">
        <f aca="false">Supuestos!$C$53*IF(92&gt;=12,1,0)/12</f>
        <v>172000000</v>
      </c>
      <c r="CQ11" s="57" t="n">
        <f aca="false">Supuestos!$C$53*IF(93&gt;=12,1,0)/12</f>
        <v>172000000</v>
      </c>
      <c r="CR11" s="57" t="n">
        <f aca="false">Supuestos!$C$53*IF(94&gt;=12,1,0)/12</f>
        <v>172000000</v>
      </c>
      <c r="CS11" s="57" t="n">
        <f aca="false">Supuestos!$C$53*IF(95&gt;=12,1,0)/12</f>
        <v>172000000</v>
      </c>
      <c r="CT11" s="57" t="n">
        <f aca="false">Supuestos!$C$53*IF(96&gt;=12,1,0)/12</f>
        <v>172000000</v>
      </c>
    </row>
    <row r="12" customFormat="false" ht="15" hidden="false" customHeight="true" outlineLevel="0" collapsed="false">
      <c r="B12" s="19" t="s">
        <v>694</v>
      </c>
      <c r="C12" s="57" t="n">
        <f aca="false">Supuestos!$C$55*MIN((0+1)*2,6)/12</f>
        <v>30000000</v>
      </c>
      <c r="D12" s="57" t="n">
        <f aca="false">Supuestos!$C$55*MIN((0+1)*2,6)/12</f>
        <v>30000000</v>
      </c>
      <c r="E12" s="57" t="n">
        <f aca="false">Supuestos!$C$55*MIN((0+1)*2,6)/12</f>
        <v>30000000</v>
      </c>
      <c r="F12" s="57" t="n">
        <f aca="false">Supuestos!$C$55*MIN((0+1)*2,6)/12</f>
        <v>30000000</v>
      </c>
      <c r="G12" s="57" t="n">
        <f aca="false">Supuestos!$C$55*MIN((0+1)*2,6)/12</f>
        <v>30000000</v>
      </c>
      <c r="H12" s="57" t="n">
        <f aca="false">Supuestos!$C$55*MIN((0+1)*2,6)/12</f>
        <v>30000000</v>
      </c>
      <c r="I12" s="57" t="n">
        <f aca="false">Supuestos!$C$55*MIN((0+1)*2,6)/12</f>
        <v>30000000</v>
      </c>
      <c r="J12" s="57" t="n">
        <f aca="false">Supuestos!$C$55*MIN((0+1)*2,6)/12</f>
        <v>30000000</v>
      </c>
      <c r="K12" s="57" t="n">
        <f aca="false">Supuestos!$C$55*MIN((0+1)*2,6)/12</f>
        <v>30000000</v>
      </c>
      <c r="L12" s="57" t="n">
        <f aca="false">Supuestos!$C$55*MIN((0+1)*2,6)/12</f>
        <v>30000000</v>
      </c>
      <c r="M12" s="57" t="n">
        <f aca="false">Supuestos!$C$55*MIN((0+1)*2,6)/12</f>
        <v>30000000</v>
      </c>
      <c r="N12" s="57" t="n">
        <f aca="false">Supuestos!$C$55*MIN((0+1)*2,6)/12</f>
        <v>30000000</v>
      </c>
      <c r="O12" s="57" t="n">
        <f aca="false">Supuestos!$C$55*MIN((1+1)*2,6)/12</f>
        <v>60000000</v>
      </c>
      <c r="P12" s="57" t="n">
        <f aca="false">Supuestos!$C$55*MIN((1+1)*2,6)/12</f>
        <v>60000000</v>
      </c>
      <c r="Q12" s="57" t="n">
        <f aca="false">Supuestos!$C$55*MIN((1+1)*2,6)/12</f>
        <v>60000000</v>
      </c>
      <c r="R12" s="57" t="n">
        <f aca="false">Supuestos!$C$55*MIN((1+1)*2,6)/12</f>
        <v>60000000</v>
      </c>
      <c r="S12" s="57" t="n">
        <f aca="false">Supuestos!$C$55*MIN((1+1)*2,6)/12</f>
        <v>60000000</v>
      </c>
      <c r="T12" s="57" t="n">
        <f aca="false">Supuestos!$C$55*MIN((1+1)*2,6)/12</f>
        <v>60000000</v>
      </c>
      <c r="U12" s="57" t="n">
        <f aca="false">Supuestos!$C$55*MIN((1+1)*2,6)/12</f>
        <v>60000000</v>
      </c>
      <c r="V12" s="57" t="n">
        <f aca="false">Supuestos!$C$55*MIN((1+1)*2,6)/12</f>
        <v>60000000</v>
      </c>
      <c r="W12" s="57" t="n">
        <f aca="false">Supuestos!$C$55*MIN((1+1)*2,6)/12</f>
        <v>60000000</v>
      </c>
      <c r="X12" s="57" t="n">
        <f aca="false">Supuestos!$C$55*MIN((1+1)*2,6)/12</f>
        <v>60000000</v>
      </c>
      <c r="Y12" s="57" t="n">
        <f aca="false">Supuestos!$C$55*MIN((1+1)*2,6)/12</f>
        <v>60000000</v>
      </c>
      <c r="Z12" s="57" t="n">
        <f aca="false">Supuestos!$C$55*MIN((1+1)*2,6)/12</f>
        <v>60000000</v>
      </c>
      <c r="AA12" s="57" t="n">
        <f aca="false">Supuestos!$C$55*MIN((2+1)*2,6)/12</f>
        <v>90000000</v>
      </c>
      <c r="AB12" s="57" t="n">
        <f aca="false">Supuestos!$C$55*MIN((2+1)*2,6)/12</f>
        <v>90000000</v>
      </c>
      <c r="AC12" s="57" t="n">
        <f aca="false">Supuestos!$C$55*MIN((2+1)*2,6)/12</f>
        <v>90000000</v>
      </c>
      <c r="AD12" s="57" t="n">
        <f aca="false">Supuestos!$C$55*MIN((2+1)*2,6)/12</f>
        <v>90000000</v>
      </c>
      <c r="AE12" s="57" t="n">
        <f aca="false">Supuestos!$C$55*MIN((2+1)*2,6)/12</f>
        <v>90000000</v>
      </c>
      <c r="AF12" s="57" t="n">
        <f aca="false">Supuestos!$C$55*MIN((2+1)*2,6)/12</f>
        <v>90000000</v>
      </c>
      <c r="AG12" s="57" t="n">
        <f aca="false">Supuestos!$C$55*MIN((2+1)*2,6)/12</f>
        <v>90000000</v>
      </c>
      <c r="AH12" s="57" t="n">
        <f aca="false">Supuestos!$C$55*MIN((2+1)*2,6)/12</f>
        <v>90000000</v>
      </c>
      <c r="AI12" s="57" t="n">
        <f aca="false">Supuestos!$C$55*MIN((2+1)*2,6)/12</f>
        <v>90000000</v>
      </c>
      <c r="AJ12" s="57" t="n">
        <f aca="false">Supuestos!$C$55*MIN((2+1)*2,6)/12</f>
        <v>90000000</v>
      </c>
      <c r="AK12" s="57" t="n">
        <f aca="false">Supuestos!$C$55*MIN((2+1)*2,6)/12</f>
        <v>90000000</v>
      </c>
      <c r="AL12" s="57" t="n">
        <f aca="false">Supuestos!$C$55*MIN((2+1)*2,6)/12</f>
        <v>90000000</v>
      </c>
      <c r="AM12" s="57" t="n">
        <f aca="false">Supuestos!$C$55*MIN((3+1)*2,6)/12</f>
        <v>90000000</v>
      </c>
      <c r="AN12" s="57" t="n">
        <f aca="false">Supuestos!$C$55*MIN((3+1)*2,6)/12</f>
        <v>90000000</v>
      </c>
      <c r="AO12" s="57" t="n">
        <f aca="false">Supuestos!$C$55*MIN((3+1)*2,6)/12</f>
        <v>90000000</v>
      </c>
      <c r="AP12" s="57" t="n">
        <f aca="false">Supuestos!$C$55*MIN((3+1)*2,6)/12</f>
        <v>90000000</v>
      </c>
      <c r="AQ12" s="57" t="n">
        <f aca="false">Supuestos!$C$55*MIN((3+1)*2,6)/12</f>
        <v>90000000</v>
      </c>
      <c r="AR12" s="57" t="n">
        <f aca="false">Supuestos!$C$55*MIN((3+1)*2,6)/12</f>
        <v>90000000</v>
      </c>
      <c r="AS12" s="57" t="n">
        <f aca="false">Supuestos!$C$55*MIN((3+1)*2,6)/12</f>
        <v>90000000</v>
      </c>
      <c r="AT12" s="57" t="n">
        <f aca="false">Supuestos!$C$55*MIN((3+1)*2,6)/12</f>
        <v>90000000</v>
      </c>
      <c r="AU12" s="57" t="n">
        <f aca="false">Supuestos!$C$55*MIN((3+1)*2,6)/12</f>
        <v>90000000</v>
      </c>
      <c r="AV12" s="57" t="n">
        <f aca="false">Supuestos!$C$55*MIN((3+1)*2,6)/12</f>
        <v>90000000</v>
      </c>
      <c r="AW12" s="57" t="n">
        <f aca="false">Supuestos!$C$55*MIN((3+1)*2,6)/12</f>
        <v>90000000</v>
      </c>
      <c r="AX12" s="57" t="n">
        <f aca="false">Supuestos!$C$55*MIN((3+1)*2,6)/12</f>
        <v>90000000</v>
      </c>
      <c r="AY12" s="57" t="n">
        <f aca="false">Supuestos!$C$55*MIN((4+1)*2,6)/12</f>
        <v>90000000</v>
      </c>
      <c r="AZ12" s="57" t="n">
        <f aca="false">Supuestos!$C$55*MIN((4+1)*2,6)/12</f>
        <v>90000000</v>
      </c>
      <c r="BA12" s="57" t="n">
        <f aca="false">Supuestos!$C$55*MIN((4+1)*2,6)/12</f>
        <v>90000000</v>
      </c>
      <c r="BB12" s="57" t="n">
        <f aca="false">Supuestos!$C$55*MIN((4+1)*2,6)/12</f>
        <v>90000000</v>
      </c>
      <c r="BC12" s="57" t="n">
        <f aca="false">Supuestos!$C$55*MIN((4+1)*2,6)/12</f>
        <v>90000000</v>
      </c>
      <c r="BD12" s="57" t="n">
        <f aca="false">Supuestos!$C$55*MIN((4+1)*2,6)/12</f>
        <v>90000000</v>
      </c>
      <c r="BE12" s="57" t="n">
        <f aca="false">Supuestos!$C$55*MIN((4+1)*2,6)/12</f>
        <v>90000000</v>
      </c>
      <c r="BF12" s="57" t="n">
        <f aca="false">Supuestos!$C$55*MIN((4+1)*2,6)/12</f>
        <v>90000000</v>
      </c>
      <c r="BG12" s="57" t="n">
        <f aca="false">Supuestos!$C$55*MIN((4+1)*2,6)/12</f>
        <v>90000000</v>
      </c>
      <c r="BH12" s="57" t="n">
        <f aca="false">Supuestos!$C$55*MIN((4+1)*2,6)/12</f>
        <v>90000000</v>
      </c>
      <c r="BI12" s="57" t="n">
        <f aca="false">Supuestos!$C$55*MIN((4+1)*2,6)/12</f>
        <v>90000000</v>
      </c>
      <c r="BJ12" s="57" t="n">
        <f aca="false">Supuestos!$C$55*MIN((4+1)*2,6)/12</f>
        <v>90000000</v>
      </c>
      <c r="BK12" s="57" t="n">
        <f aca="false">Supuestos!$C$55*MIN((5+1)*2,6)/12</f>
        <v>90000000</v>
      </c>
      <c r="BL12" s="57" t="n">
        <f aca="false">Supuestos!$C$55*MIN((5+1)*2,6)/12</f>
        <v>90000000</v>
      </c>
      <c r="BM12" s="57" t="n">
        <f aca="false">Supuestos!$C$55*MIN((5+1)*2,6)/12</f>
        <v>90000000</v>
      </c>
      <c r="BN12" s="57" t="n">
        <f aca="false">Supuestos!$C$55*MIN((5+1)*2,6)/12</f>
        <v>90000000</v>
      </c>
      <c r="BO12" s="57" t="n">
        <f aca="false">Supuestos!$C$55*MIN((5+1)*2,6)/12</f>
        <v>90000000</v>
      </c>
      <c r="BP12" s="57" t="n">
        <f aca="false">Supuestos!$C$55*MIN((5+1)*2,6)/12</f>
        <v>90000000</v>
      </c>
      <c r="BQ12" s="57" t="n">
        <f aca="false">Supuestos!$C$55*MIN((5+1)*2,6)/12</f>
        <v>90000000</v>
      </c>
      <c r="BR12" s="57" t="n">
        <f aca="false">Supuestos!$C$55*MIN((5+1)*2,6)/12</f>
        <v>90000000</v>
      </c>
      <c r="BS12" s="57" t="n">
        <f aca="false">Supuestos!$C$55*MIN((5+1)*2,6)/12</f>
        <v>90000000</v>
      </c>
      <c r="BT12" s="57" t="n">
        <f aca="false">Supuestos!$C$55*MIN((5+1)*2,6)/12</f>
        <v>90000000</v>
      </c>
      <c r="BU12" s="57" t="n">
        <f aca="false">Supuestos!$C$55*MIN((5+1)*2,6)/12</f>
        <v>90000000</v>
      </c>
      <c r="BV12" s="57" t="n">
        <f aca="false">Supuestos!$C$55*MIN((5+1)*2,6)/12</f>
        <v>90000000</v>
      </c>
      <c r="BW12" s="57" t="n">
        <f aca="false">Supuestos!$C$55*MIN((6+1)*2,6)/12</f>
        <v>90000000</v>
      </c>
      <c r="BX12" s="57" t="n">
        <f aca="false">Supuestos!$C$55*MIN((6+1)*2,6)/12</f>
        <v>90000000</v>
      </c>
      <c r="BY12" s="57" t="n">
        <f aca="false">Supuestos!$C$55*MIN((6+1)*2,6)/12</f>
        <v>90000000</v>
      </c>
      <c r="BZ12" s="57" t="n">
        <f aca="false">Supuestos!$C$55*MIN((6+1)*2,6)/12</f>
        <v>90000000</v>
      </c>
      <c r="CA12" s="57" t="n">
        <f aca="false">Supuestos!$C$55*MIN((6+1)*2,6)/12</f>
        <v>90000000</v>
      </c>
      <c r="CB12" s="57" t="n">
        <f aca="false">Supuestos!$C$55*MIN((6+1)*2,6)/12</f>
        <v>90000000</v>
      </c>
      <c r="CC12" s="57" t="n">
        <f aca="false">Supuestos!$C$55*MIN((6+1)*2,6)/12</f>
        <v>90000000</v>
      </c>
      <c r="CD12" s="57" t="n">
        <f aca="false">Supuestos!$C$55*MIN((6+1)*2,6)/12</f>
        <v>90000000</v>
      </c>
      <c r="CE12" s="57" t="n">
        <f aca="false">Supuestos!$C$55*MIN((6+1)*2,6)/12</f>
        <v>90000000</v>
      </c>
      <c r="CF12" s="57" t="n">
        <f aca="false">Supuestos!$C$55*MIN((6+1)*2,6)/12</f>
        <v>90000000</v>
      </c>
      <c r="CG12" s="57" t="n">
        <f aca="false">Supuestos!$C$55*MIN((6+1)*2,6)/12</f>
        <v>90000000</v>
      </c>
      <c r="CH12" s="57" t="n">
        <f aca="false">Supuestos!$C$55*MIN((6+1)*2,6)/12</f>
        <v>90000000</v>
      </c>
      <c r="CI12" s="57" t="n">
        <f aca="false">Supuestos!$C$55*MIN((7+1)*2,6)/12</f>
        <v>90000000</v>
      </c>
      <c r="CJ12" s="57" t="n">
        <f aca="false">Supuestos!$C$55*MIN((7+1)*2,6)/12</f>
        <v>90000000</v>
      </c>
      <c r="CK12" s="57" t="n">
        <f aca="false">Supuestos!$C$55*MIN((7+1)*2,6)/12</f>
        <v>90000000</v>
      </c>
      <c r="CL12" s="57" t="n">
        <f aca="false">Supuestos!$C$55*MIN((7+1)*2,6)/12</f>
        <v>90000000</v>
      </c>
      <c r="CM12" s="57" t="n">
        <f aca="false">Supuestos!$C$55*MIN((7+1)*2,6)/12</f>
        <v>90000000</v>
      </c>
      <c r="CN12" s="57" t="n">
        <f aca="false">Supuestos!$C$55*MIN((7+1)*2,6)/12</f>
        <v>90000000</v>
      </c>
      <c r="CO12" s="57" t="n">
        <f aca="false">Supuestos!$C$55*MIN((7+1)*2,6)/12</f>
        <v>90000000</v>
      </c>
      <c r="CP12" s="57" t="n">
        <f aca="false">Supuestos!$C$55*MIN((7+1)*2,6)/12</f>
        <v>90000000</v>
      </c>
      <c r="CQ12" s="57" t="n">
        <f aca="false">Supuestos!$C$55*MIN((7+1)*2,6)/12</f>
        <v>90000000</v>
      </c>
      <c r="CR12" s="57" t="n">
        <f aca="false">Supuestos!$C$55*MIN((7+1)*2,6)/12</f>
        <v>90000000</v>
      </c>
      <c r="CS12" s="57" t="n">
        <f aca="false">Supuestos!$C$55*MIN((7+1)*2,6)/12</f>
        <v>90000000</v>
      </c>
      <c r="CT12" s="57" t="n">
        <f aca="false">Supuestos!$C$55*MIN((7+1)*2,6)/12</f>
        <v>90000000</v>
      </c>
    </row>
    <row r="13" customFormat="false" ht="27" hidden="false" customHeight="true" outlineLevel="0" collapsed="false">
      <c r="B13" s="14" t="s">
        <v>695</v>
      </c>
      <c r="C13" s="57" t="n">
        <f aca="false">Supuestos!$C$54*1/12+IF(1&gt;=9,Supuestos!$C$57,0)/12</f>
        <v>3875000</v>
      </c>
      <c r="D13" s="57" t="n">
        <f aca="false">Supuestos!$C$54*1/12+IF(2&gt;=9,Supuestos!$C$57,0)/12</f>
        <v>3875000</v>
      </c>
      <c r="E13" s="57" t="n">
        <f aca="false">Supuestos!$C$54*1/12+IF(3&gt;=9,Supuestos!$C$57,0)/12</f>
        <v>3875000</v>
      </c>
      <c r="F13" s="57" t="n">
        <f aca="false">Supuestos!$C$54*1/12+IF(4&gt;=9,Supuestos!$C$57,0)/12</f>
        <v>3875000</v>
      </c>
      <c r="G13" s="57" t="n">
        <f aca="false">Supuestos!$C$54*1/12+IF(5&gt;=9,Supuestos!$C$57,0)/12</f>
        <v>3875000</v>
      </c>
      <c r="H13" s="57" t="n">
        <f aca="false">Supuestos!$C$54*1/12+IF(6&gt;=9,Supuestos!$C$57,0)/12</f>
        <v>3875000</v>
      </c>
      <c r="I13" s="57" t="n">
        <f aca="false">Supuestos!$C$54*1/12+IF(7&gt;=9,Supuestos!$C$57,0)/12</f>
        <v>3875000</v>
      </c>
      <c r="J13" s="57" t="n">
        <f aca="false">Supuestos!$C$54*1/12+IF(8&gt;=9,Supuestos!$C$57,0)/12</f>
        <v>3875000</v>
      </c>
      <c r="K13" s="57" t="n">
        <f aca="false">Supuestos!$C$54*1/12+IF(9&gt;=9,Supuestos!$C$57,0)/12</f>
        <v>17916666.6666667</v>
      </c>
      <c r="L13" s="57" t="n">
        <f aca="false">Supuestos!$C$54*1/12+IF(10&gt;=9,Supuestos!$C$57,0)/12</f>
        <v>17916666.6666667</v>
      </c>
      <c r="M13" s="57" t="n">
        <f aca="false">Supuestos!$C$54*1/12+IF(11&gt;=9,Supuestos!$C$57,0)/12</f>
        <v>17916666.6666667</v>
      </c>
      <c r="N13" s="57" t="n">
        <f aca="false">Supuestos!$C$54*1/12+IF(12&gt;=9,Supuestos!$C$57,0)/12</f>
        <v>17916666.6666667</v>
      </c>
      <c r="O13" s="57" t="n">
        <f aca="false">Supuestos!$C$54*0/12+IF(13&gt;=9,Supuestos!$C$57,0)/12</f>
        <v>14041666.6666667</v>
      </c>
      <c r="P13" s="57" t="n">
        <f aca="false">Supuestos!$C$54*0/12+IF(14&gt;=9,Supuestos!$C$57,0)/12</f>
        <v>14041666.6666667</v>
      </c>
      <c r="Q13" s="57" t="n">
        <f aca="false">Supuestos!$C$54*0/12+IF(15&gt;=9,Supuestos!$C$57,0)/12</f>
        <v>14041666.6666667</v>
      </c>
      <c r="R13" s="57" t="n">
        <f aca="false">Supuestos!$C$54*0/12+IF(16&gt;=9,Supuestos!$C$57,0)/12</f>
        <v>14041666.6666667</v>
      </c>
      <c r="S13" s="57" t="n">
        <f aca="false">Supuestos!$C$54*0/12+IF(17&gt;=9,Supuestos!$C$57,0)/12</f>
        <v>14041666.6666667</v>
      </c>
      <c r="T13" s="57" t="n">
        <f aca="false">Supuestos!$C$54*0/12+IF(18&gt;=9,Supuestos!$C$57,0)/12</f>
        <v>14041666.6666667</v>
      </c>
      <c r="U13" s="57" t="n">
        <f aca="false">Supuestos!$C$54*0/12+IF(19&gt;=9,Supuestos!$C$57,0)/12</f>
        <v>14041666.6666667</v>
      </c>
      <c r="V13" s="57" t="n">
        <f aca="false">Supuestos!$C$54*0/12+IF(20&gt;=9,Supuestos!$C$57,0)/12</f>
        <v>14041666.6666667</v>
      </c>
      <c r="W13" s="57" t="n">
        <f aca="false">Supuestos!$C$54*0/12+IF(21&gt;=9,Supuestos!$C$57,0)/12</f>
        <v>14041666.6666667</v>
      </c>
      <c r="X13" s="57" t="n">
        <f aca="false">Supuestos!$C$54*0/12+IF(22&gt;=9,Supuestos!$C$57,0)/12</f>
        <v>14041666.6666667</v>
      </c>
      <c r="Y13" s="57" t="n">
        <f aca="false">Supuestos!$C$54*0/12+IF(23&gt;=9,Supuestos!$C$57,0)/12</f>
        <v>14041666.6666667</v>
      </c>
      <c r="Z13" s="57" t="n">
        <f aca="false">Supuestos!$C$54*0/12+IF(24&gt;=9,Supuestos!$C$57,0)/12</f>
        <v>14041666.6666667</v>
      </c>
      <c r="AA13" s="57" t="n">
        <f aca="false">Supuestos!$C$54*0/12+IF(25&gt;=9,Supuestos!$C$57,0)/12</f>
        <v>14041666.6666667</v>
      </c>
      <c r="AB13" s="57" t="n">
        <f aca="false">Supuestos!$C$54*0/12+IF(26&gt;=9,Supuestos!$C$57,0)/12</f>
        <v>14041666.6666667</v>
      </c>
      <c r="AC13" s="57" t="n">
        <f aca="false">Supuestos!$C$54*0/12+IF(27&gt;=9,Supuestos!$C$57,0)/12</f>
        <v>14041666.6666667</v>
      </c>
      <c r="AD13" s="57" t="n">
        <f aca="false">Supuestos!$C$54*0/12+IF(28&gt;=9,Supuestos!$C$57,0)/12</f>
        <v>14041666.6666667</v>
      </c>
      <c r="AE13" s="57" t="n">
        <f aca="false">Supuestos!$C$54*0/12+IF(29&gt;=9,Supuestos!$C$57,0)/12</f>
        <v>14041666.6666667</v>
      </c>
      <c r="AF13" s="57" t="n">
        <f aca="false">Supuestos!$C$54*0/12+IF(30&gt;=9,Supuestos!$C$57,0)/12</f>
        <v>14041666.6666667</v>
      </c>
      <c r="AG13" s="57" t="n">
        <f aca="false">Supuestos!$C$54*0/12+IF(31&gt;=9,Supuestos!$C$57,0)/12</f>
        <v>14041666.6666667</v>
      </c>
      <c r="AH13" s="57" t="n">
        <f aca="false">Supuestos!$C$54*0/12+IF(32&gt;=9,Supuestos!$C$57,0)/12</f>
        <v>14041666.6666667</v>
      </c>
      <c r="AI13" s="57" t="n">
        <f aca="false">Supuestos!$C$54*0/12+IF(33&gt;=9,Supuestos!$C$57,0)/12</f>
        <v>14041666.6666667</v>
      </c>
      <c r="AJ13" s="57" t="n">
        <f aca="false">Supuestos!$C$54*0/12+IF(34&gt;=9,Supuestos!$C$57,0)/12</f>
        <v>14041666.6666667</v>
      </c>
      <c r="AK13" s="57" t="n">
        <f aca="false">Supuestos!$C$54*0/12+IF(35&gt;=9,Supuestos!$C$57,0)/12</f>
        <v>14041666.6666667</v>
      </c>
      <c r="AL13" s="57" t="n">
        <f aca="false">Supuestos!$C$54*0/12+IF(36&gt;=9,Supuestos!$C$57,0)/12</f>
        <v>14041666.6666667</v>
      </c>
      <c r="AM13" s="57" t="n">
        <f aca="false">Supuestos!$C$54*0/12+IF(37&gt;=9,Supuestos!$C$57,0)/12</f>
        <v>14041666.6666667</v>
      </c>
      <c r="AN13" s="57" t="n">
        <f aca="false">Supuestos!$C$54*0/12+IF(38&gt;=9,Supuestos!$C$57,0)/12</f>
        <v>14041666.6666667</v>
      </c>
      <c r="AO13" s="57" t="n">
        <f aca="false">Supuestos!$C$54*0/12+IF(39&gt;=9,Supuestos!$C$57,0)/12</f>
        <v>14041666.6666667</v>
      </c>
      <c r="AP13" s="57" t="n">
        <f aca="false">Supuestos!$C$54*0/12+IF(40&gt;=9,Supuestos!$C$57,0)/12</f>
        <v>14041666.6666667</v>
      </c>
      <c r="AQ13" s="57" t="n">
        <f aca="false">Supuestos!$C$54*0/12+IF(41&gt;=9,Supuestos!$C$57,0)/12</f>
        <v>14041666.6666667</v>
      </c>
      <c r="AR13" s="57" t="n">
        <f aca="false">Supuestos!$C$54*0/12+IF(42&gt;=9,Supuestos!$C$57,0)/12</f>
        <v>14041666.6666667</v>
      </c>
      <c r="AS13" s="57" t="n">
        <f aca="false">Supuestos!$C$54*0/12+IF(43&gt;=9,Supuestos!$C$57,0)/12</f>
        <v>14041666.6666667</v>
      </c>
      <c r="AT13" s="57" t="n">
        <f aca="false">Supuestos!$C$54*0/12+IF(44&gt;=9,Supuestos!$C$57,0)/12</f>
        <v>14041666.6666667</v>
      </c>
      <c r="AU13" s="57" t="n">
        <f aca="false">Supuestos!$C$54*0/12+IF(45&gt;=9,Supuestos!$C$57,0)/12</f>
        <v>14041666.6666667</v>
      </c>
      <c r="AV13" s="57" t="n">
        <f aca="false">Supuestos!$C$54*0/12+IF(46&gt;=9,Supuestos!$C$57,0)/12</f>
        <v>14041666.6666667</v>
      </c>
      <c r="AW13" s="57" t="n">
        <f aca="false">Supuestos!$C$54*0/12+IF(47&gt;=9,Supuestos!$C$57,0)/12</f>
        <v>14041666.6666667</v>
      </c>
      <c r="AX13" s="57" t="n">
        <f aca="false">Supuestos!$C$54*0/12+IF(48&gt;=9,Supuestos!$C$57,0)/12</f>
        <v>14041666.6666667</v>
      </c>
      <c r="AY13" s="57" t="n">
        <f aca="false">Supuestos!$C$54*0/12+IF(49&gt;=9,Supuestos!$C$57,0)/12</f>
        <v>14041666.6666667</v>
      </c>
      <c r="AZ13" s="57" t="n">
        <f aca="false">Supuestos!$C$54*0/12+IF(50&gt;=9,Supuestos!$C$57,0)/12</f>
        <v>14041666.6666667</v>
      </c>
      <c r="BA13" s="57" t="n">
        <f aca="false">Supuestos!$C$54*0/12+IF(51&gt;=9,Supuestos!$C$57,0)/12</f>
        <v>14041666.6666667</v>
      </c>
      <c r="BB13" s="57" t="n">
        <f aca="false">Supuestos!$C$54*0/12+IF(52&gt;=9,Supuestos!$C$57,0)/12</f>
        <v>14041666.6666667</v>
      </c>
      <c r="BC13" s="57" t="n">
        <f aca="false">Supuestos!$C$54*0/12+IF(53&gt;=9,Supuestos!$C$57,0)/12</f>
        <v>14041666.6666667</v>
      </c>
      <c r="BD13" s="57" t="n">
        <f aca="false">Supuestos!$C$54*0/12+IF(54&gt;=9,Supuestos!$C$57,0)/12</f>
        <v>14041666.6666667</v>
      </c>
      <c r="BE13" s="57" t="n">
        <f aca="false">Supuestos!$C$54*0/12+IF(55&gt;=9,Supuestos!$C$57,0)/12</f>
        <v>14041666.6666667</v>
      </c>
      <c r="BF13" s="57" t="n">
        <f aca="false">Supuestos!$C$54*0/12+IF(56&gt;=9,Supuestos!$C$57,0)/12</f>
        <v>14041666.6666667</v>
      </c>
      <c r="BG13" s="57" t="n">
        <f aca="false">Supuestos!$C$54*0/12+IF(57&gt;=9,Supuestos!$C$57,0)/12</f>
        <v>14041666.6666667</v>
      </c>
      <c r="BH13" s="57" t="n">
        <f aca="false">Supuestos!$C$54*0/12+IF(58&gt;=9,Supuestos!$C$57,0)/12</f>
        <v>14041666.6666667</v>
      </c>
      <c r="BI13" s="57" t="n">
        <f aca="false">Supuestos!$C$54*0/12+IF(59&gt;=9,Supuestos!$C$57,0)/12</f>
        <v>14041666.6666667</v>
      </c>
      <c r="BJ13" s="57" t="n">
        <f aca="false">Supuestos!$C$54*0/12+IF(60&gt;=9,Supuestos!$C$57,0)/12</f>
        <v>14041666.6666667</v>
      </c>
      <c r="BK13" s="57" t="n">
        <f aca="false">Supuestos!$C$54*0/12+IF(61&gt;=9,Supuestos!$C$57,0)/12</f>
        <v>14041666.6666667</v>
      </c>
      <c r="BL13" s="57" t="n">
        <f aca="false">Supuestos!$C$54*0/12+IF(62&gt;=9,Supuestos!$C$57,0)/12</f>
        <v>14041666.6666667</v>
      </c>
      <c r="BM13" s="57" t="n">
        <f aca="false">Supuestos!$C$54*0/12+IF(63&gt;=9,Supuestos!$C$57,0)/12</f>
        <v>14041666.6666667</v>
      </c>
      <c r="BN13" s="57" t="n">
        <f aca="false">Supuestos!$C$54*0/12+IF(64&gt;=9,Supuestos!$C$57,0)/12</f>
        <v>14041666.6666667</v>
      </c>
      <c r="BO13" s="57" t="n">
        <f aca="false">Supuestos!$C$54*0/12+IF(65&gt;=9,Supuestos!$C$57,0)/12</f>
        <v>14041666.6666667</v>
      </c>
      <c r="BP13" s="57" t="n">
        <f aca="false">Supuestos!$C$54*0/12+IF(66&gt;=9,Supuestos!$C$57,0)/12</f>
        <v>14041666.6666667</v>
      </c>
      <c r="BQ13" s="57" t="n">
        <f aca="false">Supuestos!$C$54*0/12+IF(67&gt;=9,Supuestos!$C$57,0)/12</f>
        <v>14041666.6666667</v>
      </c>
      <c r="BR13" s="57" t="n">
        <f aca="false">Supuestos!$C$54*0/12+IF(68&gt;=9,Supuestos!$C$57,0)/12</f>
        <v>14041666.6666667</v>
      </c>
      <c r="BS13" s="57" t="n">
        <f aca="false">Supuestos!$C$54*0/12+IF(69&gt;=9,Supuestos!$C$57,0)/12</f>
        <v>14041666.6666667</v>
      </c>
      <c r="BT13" s="57" t="n">
        <f aca="false">Supuestos!$C$54*0/12+IF(70&gt;=9,Supuestos!$C$57,0)/12</f>
        <v>14041666.6666667</v>
      </c>
      <c r="BU13" s="57" t="n">
        <f aca="false">Supuestos!$C$54*0/12+IF(71&gt;=9,Supuestos!$C$57,0)/12</f>
        <v>14041666.6666667</v>
      </c>
      <c r="BV13" s="57" t="n">
        <f aca="false">Supuestos!$C$54*0/12+IF(72&gt;=9,Supuestos!$C$57,0)/12</f>
        <v>14041666.6666667</v>
      </c>
      <c r="BW13" s="57" t="n">
        <f aca="false">Supuestos!$C$54*0/12+IF(73&gt;=9,Supuestos!$C$57,0)/12</f>
        <v>14041666.6666667</v>
      </c>
      <c r="BX13" s="57" t="n">
        <f aca="false">Supuestos!$C$54*0/12+IF(74&gt;=9,Supuestos!$C$57,0)/12</f>
        <v>14041666.6666667</v>
      </c>
      <c r="BY13" s="57" t="n">
        <f aca="false">Supuestos!$C$54*0/12+IF(75&gt;=9,Supuestos!$C$57,0)/12</f>
        <v>14041666.6666667</v>
      </c>
      <c r="BZ13" s="57" t="n">
        <f aca="false">Supuestos!$C$54*0/12+IF(76&gt;=9,Supuestos!$C$57,0)/12</f>
        <v>14041666.6666667</v>
      </c>
      <c r="CA13" s="57" t="n">
        <f aca="false">Supuestos!$C$54*0/12+IF(77&gt;=9,Supuestos!$C$57,0)/12</f>
        <v>14041666.6666667</v>
      </c>
      <c r="CB13" s="57" t="n">
        <f aca="false">Supuestos!$C$54*0/12+IF(78&gt;=9,Supuestos!$C$57,0)/12</f>
        <v>14041666.6666667</v>
      </c>
      <c r="CC13" s="57" t="n">
        <f aca="false">Supuestos!$C$54*0/12+IF(79&gt;=9,Supuestos!$C$57,0)/12</f>
        <v>14041666.6666667</v>
      </c>
      <c r="CD13" s="57" t="n">
        <f aca="false">Supuestos!$C$54*0/12+IF(80&gt;=9,Supuestos!$C$57,0)/12</f>
        <v>14041666.6666667</v>
      </c>
      <c r="CE13" s="57" t="n">
        <f aca="false">Supuestos!$C$54*0/12+IF(81&gt;=9,Supuestos!$C$57,0)/12</f>
        <v>14041666.6666667</v>
      </c>
      <c r="CF13" s="57" t="n">
        <f aca="false">Supuestos!$C$54*0/12+IF(82&gt;=9,Supuestos!$C$57,0)/12</f>
        <v>14041666.6666667</v>
      </c>
      <c r="CG13" s="57" t="n">
        <f aca="false">Supuestos!$C$54*0/12+IF(83&gt;=9,Supuestos!$C$57,0)/12</f>
        <v>14041666.6666667</v>
      </c>
      <c r="CH13" s="57" t="n">
        <f aca="false">Supuestos!$C$54*0/12+IF(84&gt;=9,Supuestos!$C$57,0)/12</f>
        <v>14041666.6666667</v>
      </c>
      <c r="CI13" s="57" t="n">
        <f aca="false">Supuestos!$C$54*0/12+IF(85&gt;=9,Supuestos!$C$57,0)/12</f>
        <v>14041666.6666667</v>
      </c>
      <c r="CJ13" s="57" t="n">
        <f aca="false">Supuestos!$C$54*0/12+IF(86&gt;=9,Supuestos!$C$57,0)/12</f>
        <v>14041666.6666667</v>
      </c>
      <c r="CK13" s="57" t="n">
        <f aca="false">Supuestos!$C$54*0/12+IF(87&gt;=9,Supuestos!$C$57,0)/12</f>
        <v>14041666.6666667</v>
      </c>
      <c r="CL13" s="57" t="n">
        <f aca="false">Supuestos!$C$54*0/12+IF(88&gt;=9,Supuestos!$C$57,0)/12</f>
        <v>14041666.6666667</v>
      </c>
      <c r="CM13" s="57" t="n">
        <f aca="false">Supuestos!$C$54*0/12+IF(89&gt;=9,Supuestos!$C$57,0)/12</f>
        <v>14041666.6666667</v>
      </c>
      <c r="CN13" s="57" t="n">
        <f aca="false">Supuestos!$C$54*0/12+IF(90&gt;=9,Supuestos!$C$57,0)/12</f>
        <v>14041666.6666667</v>
      </c>
      <c r="CO13" s="57" t="n">
        <f aca="false">Supuestos!$C$54*0/12+IF(91&gt;=9,Supuestos!$C$57,0)/12</f>
        <v>14041666.6666667</v>
      </c>
      <c r="CP13" s="57" t="n">
        <f aca="false">Supuestos!$C$54*0/12+IF(92&gt;=9,Supuestos!$C$57,0)/12</f>
        <v>14041666.6666667</v>
      </c>
      <c r="CQ13" s="57" t="n">
        <f aca="false">Supuestos!$C$54*0/12+IF(93&gt;=9,Supuestos!$C$57,0)/12</f>
        <v>14041666.6666667</v>
      </c>
      <c r="CR13" s="57" t="n">
        <f aca="false">Supuestos!$C$54*0/12+IF(94&gt;=9,Supuestos!$C$57,0)/12</f>
        <v>14041666.6666667</v>
      </c>
      <c r="CS13" s="57" t="n">
        <f aca="false">Supuestos!$C$54*0/12+IF(95&gt;=9,Supuestos!$C$57,0)/12</f>
        <v>14041666.6666667</v>
      </c>
      <c r="CT13" s="57" t="n">
        <f aca="false">Supuestos!$C$54*0/12+IF(96&gt;=9,Supuestos!$C$57,0)/12</f>
        <v>14041666.6666667</v>
      </c>
    </row>
    <row r="14" customFormat="false" ht="15" hidden="false" customHeight="true" outlineLevel="0" collapsed="false">
      <c r="B14" s="19" t="s">
        <v>696</v>
      </c>
      <c r="C14" s="57" t="n">
        <f aca="false">Supuestos!$C$56/12</f>
        <v>0</v>
      </c>
      <c r="D14" s="57" t="n">
        <f aca="false">Supuestos!$C$56/12</f>
        <v>0</v>
      </c>
      <c r="E14" s="57" t="n">
        <f aca="false">Supuestos!$C$56/12</f>
        <v>0</v>
      </c>
      <c r="F14" s="57" t="n">
        <f aca="false">Supuestos!$C$56/12</f>
        <v>0</v>
      </c>
      <c r="G14" s="57" t="n">
        <f aca="false">Supuestos!$C$56/12</f>
        <v>0</v>
      </c>
      <c r="H14" s="57" t="n">
        <f aca="false">Supuestos!$C$56/12</f>
        <v>0</v>
      </c>
      <c r="I14" s="57" t="n">
        <f aca="false">Supuestos!$C$56/12</f>
        <v>0</v>
      </c>
      <c r="J14" s="57" t="n">
        <f aca="false">Supuestos!$C$56/12</f>
        <v>0</v>
      </c>
      <c r="K14" s="57" t="n">
        <f aca="false">Supuestos!$C$56/12</f>
        <v>0</v>
      </c>
      <c r="L14" s="57" t="n">
        <f aca="false">Supuestos!$C$56/12</f>
        <v>0</v>
      </c>
      <c r="M14" s="57" t="n">
        <f aca="false">Supuestos!$C$56/12</f>
        <v>0</v>
      </c>
      <c r="N14" s="57" t="n">
        <f aca="false">Supuestos!$C$56/12</f>
        <v>0</v>
      </c>
      <c r="O14" s="57" t="n">
        <f aca="false">Supuestos!$C$56/12</f>
        <v>0</v>
      </c>
      <c r="P14" s="57" t="n">
        <f aca="false">Supuestos!$C$56/12</f>
        <v>0</v>
      </c>
      <c r="Q14" s="57" t="n">
        <f aca="false">Supuestos!$C$56/12</f>
        <v>0</v>
      </c>
      <c r="R14" s="57" t="n">
        <f aca="false">Supuestos!$C$56/12</f>
        <v>0</v>
      </c>
      <c r="S14" s="57" t="n">
        <f aca="false">Supuestos!$C$56/12</f>
        <v>0</v>
      </c>
      <c r="T14" s="57" t="n">
        <f aca="false">Supuestos!$C$56/12</f>
        <v>0</v>
      </c>
      <c r="U14" s="57" t="n">
        <f aca="false">Supuestos!$C$56/12</f>
        <v>0</v>
      </c>
      <c r="V14" s="57" t="n">
        <f aca="false">Supuestos!$C$56/12</f>
        <v>0</v>
      </c>
      <c r="W14" s="57" t="n">
        <f aca="false">Supuestos!$C$56/12</f>
        <v>0</v>
      </c>
      <c r="X14" s="57" t="n">
        <f aca="false">Supuestos!$C$56/12</f>
        <v>0</v>
      </c>
      <c r="Y14" s="57" t="n">
        <f aca="false">Supuestos!$C$56/12</f>
        <v>0</v>
      </c>
      <c r="Z14" s="57" t="n">
        <f aca="false">Supuestos!$C$56/12</f>
        <v>0</v>
      </c>
      <c r="AA14" s="57" t="n">
        <f aca="false">Supuestos!$C$56/12</f>
        <v>0</v>
      </c>
      <c r="AB14" s="57" t="n">
        <f aca="false">Supuestos!$C$56/12</f>
        <v>0</v>
      </c>
      <c r="AC14" s="57" t="n">
        <f aca="false">Supuestos!$C$56/12</f>
        <v>0</v>
      </c>
      <c r="AD14" s="57" t="n">
        <f aca="false">Supuestos!$C$56/12</f>
        <v>0</v>
      </c>
      <c r="AE14" s="57" t="n">
        <f aca="false">Supuestos!$C$56/12</f>
        <v>0</v>
      </c>
      <c r="AF14" s="57" t="n">
        <f aca="false">Supuestos!$C$56/12</f>
        <v>0</v>
      </c>
      <c r="AG14" s="57" t="n">
        <f aca="false">Supuestos!$C$56/12</f>
        <v>0</v>
      </c>
      <c r="AH14" s="57" t="n">
        <f aca="false">Supuestos!$C$56/12</f>
        <v>0</v>
      </c>
      <c r="AI14" s="57" t="n">
        <f aca="false">Supuestos!$C$56/12</f>
        <v>0</v>
      </c>
      <c r="AJ14" s="57" t="n">
        <f aca="false">Supuestos!$C$56/12</f>
        <v>0</v>
      </c>
      <c r="AK14" s="57" t="n">
        <f aca="false">Supuestos!$C$56/12</f>
        <v>0</v>
      </c>
      <c r="AL14" s="57" t="n">
        <f aca="false">Supuestos!$C$56/12</f>
        <v>0</v>
      </c>
      <c r="AM14" s="57" t="n">
        <f aca="false">Supuestos!$C$56/12</f>
        <v>0</v>
      </c>
      <c r="AN14" s="57" t="n">
        <f aca="false">Supuestos!$C$56/12</f>
        <v>0</v>
      </c>
      <c r="AO14" s="57" t="n">
        <f aca="false">Supuestos!$C$56/12</f>
        <v>0</v>
      </c>
      <c r="AP14" s="57" t="n">
        <f aca="false">Supuestos!$C$56/12</f>
        <v>0</v>
      </c>
      <c r="AQ14" s="57" t="n">
        <f aca="false">Supuestos!$C$56/12</f>
        <v>0</v>
      </c>
      <c r="AR14" s="57" t="n">
        <f aca="false">Supuestos!$C$56/12</f>
        <v>0</v>
      </c>
      <c r="AS14" s="57" t="n">
        <f aca="false">Supuestos!$C$56/12</f>
        <v>0</v>
      </c>
      <c r="AT14" s="57" t="n">
        <f aca="false">Supuestos!$C$56/12</f>
        <v>0</v>
      </c>
      <c r="AU14" s="57" t="n">
        <f aca="false">Supuestos!$C$56/12</f>
        <v>0</v>
      </c>
      <c r="AV14" s="57" t="n">
        <f aca="false">Supuestos!$C$56/12</f>
        <v>0</v>
      </c>
      <c r="AW14" s="57" t="n">
        <f aca="false">Supuestos!$C$56/12</f>
        <v>0</v>
      </c>
      <c r="AX14" s="57" t="n">
        <f aca="false">Supuestos!$C$56/12</f>
        <v>0</v>
      </c>
      <c r="AY14" s="57" t="n">
        <f aca="false">Supuestos!$C$56/12</f>
        <v>0</v>
      </c>
      <c r="AZ14" s="57" t="n">
        <f aca="false">Supuestos!$C$56/12</f>
        <v>0</v>
      </c>
      <c r="BA14" s="57" t="n">
        <f aca="false">Supuestos!$C$56/12</f>
        <v>0</v>
      </c>
      <c r="BB14" s="57" t="n">
        <f aca="false">Supuestos!$C$56/12</f>
        <v>0</v>
      </c>
      <c r="BC14" s="57" t="n">
        <f aca="false">Supuestos!$C$56/12</f>
        <v>0</v>
      </c>
      <c r="BD14" s="57" t="n">
        <f aca="false">Supuestos!$C$56/12</f>
        <v>0</v>
      </c>
      <c r="BE14" s="57" t="n">
        <f aca="false">Supuestos!$C$56/12</f>
        <v>0</v>
      </c>
      <c r="BF14" s="57" t="n">
        <f aca="false">Supuestos!$C$56/12</f>
        <v>0</v>
      </c>
      <c r="BG14" s="57" t="n">
        <f aca="false">Supuestos!$C$56/12</f>
        <v>0</v>
      </c>
      <c r="BH14" s="57" t="n">
        <f aca="false">Supuestos!$C$56/12</f>
        <v>0</v>
      </c>
      <c r="BI14" s="57" t="n">
        <f aca="false">Supuestos!$C$56/12</f>
        <v>0</v>
      </c>
      <c r="BJ14" s="57" t="n">
        <f aca="false">Supuestos!$C$56/12</f>
        <v>0</v>
      </c>
      <c r="BK14" s="57" t="n">
        <f aca="false">Supuestos!$C$56/12</f>
        <v>0</v>
      </c>
      <c r="BL14" s="57" t="n">
        <f aca="false">Supuestos!$C$56/12</f>
        <v>0</v>
      </c>
      <c r="BM14" s="57" t="n">
        <f aca="false">Supuestos!$C$56/12</f>
        <v>0</v>
      </c>
      <c r="BN14" s="57" t="n">
        <f aca="false">Supuestos!$C$56/12</f>
        <v>0</v>
      </c>
      <c r="BO14" s="57" t="n">
        <f aca="false">Supuestos!$C$56/12</f>
        <v>0</v>
      </c>
      <c r="BP14" s="57" t="n">
        <f aca="false">Supuestos!$C$56/12</f>
        <v>0</v>
      </c>
      <c r="BQ14" s="57" t="n">
        <f aca="false">Supuestos!$C$56/12</f>
        <v>0</v>
      </c>
      <c r="BR14" s="57" t="n">
        <f aca="false">Supuestos!$C$56/12</f>
        <v>0</v>
      </c>
      <c r="BS14" s="57" t="n">
        <f aca="false">Supuestos!$C$56/12</f>
        <v>0</v>
      </c>
      <c r="BT14" s="57" t="n">
        <f aca="false">Supuestos!$C$56/12</f>
        <v>0</v>
      </c>
      <c r="BU14" s="57" t="n">
        <f aca="false">Supuestos!$C$56/12</f>
        <v>0</v>
      </c>
      <c r="BV14" s="57" t="n">
        <f aca="false">Supuestos!$C$56/12</f>
        <v>0</v>
      </c>
      <c r="BW14" s="57" t="n">
        <f aca="false">Supuestos!$C$56/12</f>
        <v>0</v>
      </c>
      <c r="BX14" s="57" t="n">
        <f aca="false">Supuestos!$C$56/12</f>
        <v>0</v>
      </c>
      <c r="BY14" s="57" t="n">
        <f aca="false">Supuestos!$C$56/12</f>
        <v>0</v>
      </c>
      <c r="BZ14" s="57" t="n">
        <f aca="false">Supuestos!$C$56/12</f>
        <v>0</v>
      </c>
      <c r="CA14" s="57" t="n">
        <f aca="false">Supuestos!$C$56/12</f>
        <v>0</v>
      </c>
      <c r="CB14" s="57" t="n">
        <f aca="false">Supuestos!$C$56/12</f>
        <v>0</v>
      </c>
      <c r="CC14" s="57" t="n">
        <f aca="false">Supuestos!$C$56/12</f>
        <v>0</v>
      </c>
      <c r="CD14" s="57" t="n">
        <f aca="false">Supuestos!$C$56/12</f>
        <v>0</v>
      </c>
      <c r="CE14" s="57" t="n">
        <f aca="false">Supuestos!$C$56/12</f>
        <v>0</v>
      </c>
      <c r="CF14" s="57" t="n">
        <f aca="false">Supuestos!$C$56/12</f>
        <v>0</v>
      </c>
      <c r="CG14" s="57" t="n">
        <f aca="false">Supuestos!$C$56/12</f>
        <v>0</v>
      </c>
      <c r="CH14" s="57" t="n">
        <f aca="false">Supuestos!$C$56/12</f>
        <v>0</v>
      </c>
      <c r="CI14" s="57" t="n">
        <f aca="false">Supuestos!$C$56/12</f>
        <v>0</v>
      </c>
      <c r="CJ14" s="57" t="n">
        <f aca="false">Supuestos!$C$56/12</f>
        <v>0</v>
      </c>
      <c r="CK14" s="57" t="n">
        <f aca="false">Supuestos!$C$56/12</f>
        <v>0</v>
      </c>
      <c r="CL14" s="57" t="n">
        <f aca="false">Supuestos!$C$56/12</f>
        <v>0</v>
      </c>
      <c r="CM14" s="57" t="n">
        <f aca="false">Supuestos!$C$56/12</f>
        <v>0</v>
      </c>
      <c r="CN14" s="57" t="n">
        <f aca="false">Supuestos!$C$56/12</f>
        <v>0</v>
      </c>
      <c r="CO14" s="57" t="n">
        <f aca="false">Supuestos!$C$56/12</f>
        <v>0</v>
      </c>
      <c r="CP14" s="57" t="n">
        <f aca="false">Supuestos!$C$56/12</f>
        <v>0</v>
      </c>
      <c r="CQ14" s="57" t="n">
        <f aca="false">Supuestos!$C$56/12</f>
        <v>0</v>
      </c>
      <c r="CR14" s="57" t="n">
        <f aca="false">Supuestos!$C$56/12</f>
        <v>0</v>
      </c>
      <c r="CS14" s="57" t="n">
        <f aca="false">Supuestos!$C$56/12</f>
        <v>0</v>
      </c>
      <c r="CT14" s="57" t="n">
        <f aca="false">Supuestos!$C$56/12</f>
        <v>0</v>
      </c>
    </row>
    <row r="15" customFormat="false" ht="27" hidden="false" customHeight="true" outlineLevel="0" collapsed="false">
      <c r="B15" s="14" t="s">
        <v>697</v>
      </c>
      <c r="C15" s="57" t="n">
        <f aca="false">IF(C8&lt;=Supuestos!$C$152,C27*Supuestos!$C$150*(1-Supuestos!$C$151),0)</f>
        <v>46240004.0966688</v>
      </c>
      <c r="D15" s="57" t="n">
        <f aca="false">IF(D8&lt;=Supuestos!$C$152,D27*Supuestos!$C$150*(1-Supuestos!$C$151),0)</f>
        <v>46240004.0966688</v>
      </c>
      <c r="E15" s="57" t="n">
        <f aca="false">IF(E8&lt;=Supuestos!$C$152,E27*Supuestos!$C$150*(1-Supuestos!$C$151),0)</f>
        <v>46240004.0966688</v>
      </c>
      <c r="F15" s="57" t="n">
        <f aca="false">IF(F8&lt;=Supuestos!$C$152,F27*Supuestos!$C$150*(1-Supuestos!$C$151),0)</f>
        <v>46240004.0966688</v>
      </c>
      <c r="G15" s="57" t="n">
        <f aca="false">IF(G8&lt;=Supuestos!$C$152,G27*Supuestos!$C$150*(1-Supuestos!$C$151),0)</f>
        <v>46240004.0966688</v>
      </c>
      <c r="H15" s="57" t="n">
        <f aca="false">IF(H8&lt;=Supuestos!$C$152,H27*Supuestos!$C$150*(1-Supuestos!$C$151),0)</f>
        <v>46240004.0966688</v>
      </c>
      <c r="I15" s="57" t="n">
        <f aca="false">IF(I8&lt;=Supuestos!$C$152,I27*Supuestos!$C$150*(1-Supuestos!$C$151),0)</f>
        <v>46240004.0966688</v>
      </c>
      <c r="J15" s="57" t="n">
        <f aca="false">IF(J8&lt;=Supuestos!$C$152,J27*Supuestos!$C$150*(1-Supuestos!$C$151),0)</f>
        <v>46240004.0966688</v>
      </c>
      <c r="K15" s="57" t="n">
        <f aca="false">IF(K8&lt;=Supuestos!$C$152,K27*Supuestos!$C$150*(1-Supuestos!$C$151),0)</f>
        <v>46240004.0966688</v>
      </c>
      <c r="L15" s="57" t="n">
        <f aca="false">IF(L8&lt;=Supuestos!$C$152,L27*Supuestos!$C$150*(1-Supuestos!$C$151),0)</f>
        <v>46240004.0966688</v>
      </c>
      <c r="M15" s="57" t="n">
        <f aca="false">IF(M8&lt;=Supuestos!$C$152,M27*Supuestos!$C$150*(1-Supuestos!$C$151),0)</f>
        <v>46240004.0966688</v>
      </c>
      <c r="N15" s="57" t="n">
        <f aca="false">IF(N8&lt;=Supuestos!$C$152,N27*Supuestos!$C$150*(1-Supuestos!$C$151),0)</f>
        <v>46240004.0966688</v>
      </c>
      <c r="O15" s="57" t="n">
        <f aca="false">IF(O8&lt;=Supuestos!$C$152,O27*Supuestos!$C$150*(1-Supuestos!$C$151),0)</f>
        <v>82365974.3945375</v>
      </c>
      <c r="P15" s="57" t="n">
        <f aca="false">IF(P8&lt;=Supuestos!$C$152,P27*Supuestos!$C$150*(1-Supuestos!$C$151),0)</f>
        <v>82365974.3945375</v>
      </c>
      <c r="Q15" s="57" t="n">
        <f aca="false">IF(Q8&lt;=Supuestos!$C$152,Q27*Supuestos!$C$150*(1-Supuestos!$C$151),0)</f>
        <v>82365974.3945375</v>
      </c>
      <c r="R15" s="57" t="n">
        <f aca="false">IF(R8&lt;=Supuestos!$C$152,R27*Supuestos!$C$150*(1-Supuestos!$C$151),0)</f>
        <v>82365974.3945375</v>
      </c>
      <c r="S15" s="57" t="n">
        <f aca="false">IF(S8&lt;=Supuestos!$C$152,S27*Supuestos!$C$150*(1-Supuestos!$C$151),0)</f>
        <v>82365974.3945375</v>
      </c>
      <c r="T15" s="57" t="n">
        <f aca="false">IF(T8&lt;=Supuestos!$C$152,T27*Supuestos!$C$150*(1-Supuestos!$C$151),0)</f>
        <v>82365974.3945375</v>
      </c>
      <c r="U15" s="57" t="n">
        <f aca="false">IF(U8&lt;=Supuestos!$C$152,U27*Supuestos!$C$150*(1-Supuestos!$C$151),0)</f>
        <v>82365974.3945375</v>
      </c>
      <c r="V15" s="57" t="n">
        <f aca="false">IF(V8&lt;=Supuestos!$C$152,V27*Supuestos!$C$150*(1-Supuestos!$C$151),0)</f>
        <v>82365974.3945375</v>
      </c>
      <c r="W15" s="57" t="n">
        <f aca="false">IF(W8&lt;=Supuestos!$C$152,W27*Supuestos!$C$150*(1-Supuestos!$C$151),0)</f>
        <v>82365974.3945375</v>
      </c>
      <c r="X15" s="57" t="n">
        <f aca="false">IF(X8&lt;=Supuestos!$C$152,X27*Supuestos!$C$150*(1-Supuestos!$C$151),0)</f>
        <v>82365974.3945375</v>
      </c>
      <c r="Y15" s="57" t="n">
        <f aca="false">IF(Y8&lt;=Supuestos!$C$152,Y27*Supuestos!$C$150*(1-Supuestos!$C$151),0)</f>
        <v>82365974.3945375</v>
      </c>
      <c r="Z15" s="57" t="n">
        <f aca="false">IF(Z8&lt;=Supuestos!$C$152,Z27*Supuestos!$C$150*(1-Supuestos!$C$151),0)</f>
        <v>82365974.3945375</v>
      </c>
      <c r="AA15" s="57" t="n">
        <f aca="false">IF(AA8&lt;=Supuestos!$C$152,AA27*Supuestos!$C$150*(1-Supuestos!$C$151),0)</f>
        <v>0</v>
      </c>
      <c r="AB15" s="57" t="n">
        <f aca="false">IF(AB8&lt;=Supuestos!$C$152,AB27*Supuestos!$C$150*(1-Supuestos!$C$151),0)</f>
        <v>0</v>
      </c>
      <c r="AC15" s="57" t="n">
        <f aca="false">IF(AC8&lt;=Supuestos!$C$152,AC27*Supuestos!$C$150*(1-Supuestos!$C$151),0)</f>
        <v>0</v>
      </c>
      <c r="AD15" s="57" t="n">
        <f aca="false">IF(AD8&lt;=Supuestos!$C$152,AD27*Supuestos!$C$150*(1-Supuestos!$C$151),0)</f>
        <v>0</v>
      </c>
      <c r="AE15" s="57" t="n">
        <f aca="false">IF(AE8&lt;=Supuestos!$C$152,AE27*Supuestos!$C$150*(1-Supuestos!$C$151),0)</f>
        <v>0</v>
      </c>
      <c r="AF15" s="57" t="n">
        <f aca="false">IF(AF8&lt;=Supuestos!$C$152,AF27*Supuestos!$C$150*(1-Supuestos!$C$151),0)</f>
        <v>0</v>
      </c>
      <c r="AG15" s="57" t="n">
        <f aca="false">IF(AG8&lt;=Supuestos!$C$152,AG27*Supuestos!$C$150*(1-Supuestos!$C$151),0)</f>
        <v>0</v>
      </c>
      <c r="AH15" s="57" t="n">
        <f aca="false">IF(AH8&lt;=Supuestos!$C$152,AH27*Supuestos!$C$150*(1-Supuestos!$C$151),0)</f>
        <v>0</v>
      </c>
      <c r="AI15" s="57" t="n">
        <f aca="false">IF(AI8&lt;=Supuestos!$C$152,AI27*Supuestos!$C$150*(1-Supuestos!$C$151),0)</f>
        <v>0</v>
      </c>
      <c r="AJ15" s="57" t="n">
        <f aca="false">IF(AJ8&lt;=Supuestos!$C$152,AJ27*Supuestos!$C$150*(1-Supuestos!$C$151),0)</f>
        <v>0</v>
      </c>
      <c r="AK15" s="57" t="n">
        <f aca="false">IF(AK8&lt;=Supuestos!$C$152,AK27*Supuestos!$C$150*(1-Supuestos!$C$151),0)</f>
        <v>0</v>
      </c>
      <c r="AL15" s="57" t="n">
        <f aca="false">IF(AL8&lt;=Supuestos!$C$152,AL27*Supuestos!$C$150*(1-Supuestos!$C$151),0)</f>
        <v>0</v>
      </c>
      <c r="AM15" s="57" t="n">
        <f aca="false">IF(AM8&lt;=Supuestos!$C$152,AM27*Supuestos!$C$150*(1-Supuestos!$C$151),0)</f>
        <v>0</v>
      </c>
      <c r="AN15" s="57" t="n">
        <f aca="false">IF(AN8&lt;=Supuestos!$C$152,AN27*Supuestos!$C$150*(1-Supuestos!$C$151),0)</f>
        <v>0</v>
      </c>
      <c r="AO15" s="57" t="n">
        <f aca="false">IF(AO8&lt;=Supuestos!$C$152,AO27*Supuestos!$C$150*(1-Supuestos!$C$151),0)</f>
        <v>0</v>
      </c>
      <c r="AP15" s="57" t="n">
        <f aca="false">IF(AP8&lt;=Supuestos!$C$152,AP27*Supuestos!$C$150*(1-Supuestos!$C$151),0)</f>
        <v>0</v>
      </c>
      <c r="AQ15" s="57" t="n">
        <f aca="false">IF(AQ8&lt;=Supuestos!$C$152,AQ27*Supuestos!$C$150*(1-Supuestos!$C$151),0)</f>
        <v>0</v>
      </c>
      <c r="AR15" s="57" t="n">
        <f aca="false">IF(AR8&lt;=Supuestos!$C$152,AR27*Supuestos!$C$150*(1-Supuestos!$C$151),0)</f>
        <v>0</v>
      </c>
      <c r="AS15" s="57" t="n">
        <f aca="false">IF(AS8&lt;=Supuestos!$C$152,AS27*Supuestos!$C$150*(1-Supuestos!$C$151),0)</f>
        <v>0</v>
      </c>
      <c r="AT15" s="57" t="n">
        <f aca="false">IF(AT8&lt;=Supuestos!$C$152,AT27*Supuestos!$C$150*(1-Supuestos!$C$151),0)</f>
        <v>0</v>
      </c>
      <c r="AU15" s="57" t="n">
        <f aca="false">IF(AU8&lt;=Supuestos!$C$152,AU27*Supuestos!$C$150*(1-Supuestos!$C$151),0)</f>
        <v>0</v>
      </c>
      <c r="AV15" s="57" t="n">
        <f aca="false">IF(AV8&lt;=Supuestos!$C$152,AV27*Supuestos!$C$150*(1-Supuestos!$C$151),0)</f>
        <v>0</v>
      </c>
      <c r="AW15" s="57" t="n">
        <f aca="false">IF(AW8&lt;=Supuestos!$C$152,AW27*Supuestos!$C$150*(1-Supuestos!$C$151),0)</f>
        <v>0</v>
      </c>
      <c r="AX15" s="57" t="n">
        <f aca="false">IF(AX8&lt;=Supuestos!$C$152,AX27*Supuestos!$C$150*(1-Supuestos!$C$151),0)</f>
        <v>0</v>
      </c>
      <c r="AY15" s="57" t="n">
        <f aca="false">IF(AY8&lt;=Supuestos!$C$152,AY27*Supuestos!$C$150*(1-Supuestos!$C$151),0)</f>
        <v>0</v>
      </c>
      <c r="AZ15" s="57" t="n">
        <f aca="false">IF(AZ8&lt;=Supuestos!$C$152,AZ27*Supuestos!$C$150*(1-Supuestos!$C$151),0)</f>
        <v>0</v>
      </c>
      <c r="BA15" s="57" t="n">
        <f aca="false">IF(BA8&lt;=Supuestos!$C$152,BA27*Supuestos!$C$150*(1-Supuestos!$C$151),0)</f>
        <v>0</v>
      </c>
      <c r="BB15" s="57" t="n">
        <f aca="false">IF(BB8&lt;=Supuestos!$C$152,BB27*Supuestos!$C$150*(1-Supuestos!$C$151),0)</f>
        <v>0</v>
      </c>
      <c r="BC15" s="57" t="n">
        <f aca="false">IF(BC8&lt;=Supuestos!$C$152,BC27*Supuestos!$C$150*(1-Supuestos!$C$151),0)</f>
        <v>0</v>
      </c>
      <c r="BD15" s="57" t="n">
        <f aca="false">IF(BD8&lt;=Supuestos!$C$152,BD27*Supuestos!$C$150*(1-Supuestos!$C$151),0)</f>
        <v>0</v>
      </c>
      <c r="BE15" s="57" t="n">
        <f aca="false">IF(BE8&lt;=Supuestos!$C$152,BE27*Supuestos!$C$150*(1-Supuestos!$C$151),0)</f>
        <v>0</v>
      </c>
      <c r="BF15" s="57" t="n">
        <f aca="false">IF(BF8&lt;=Supuestos!$C$152,BF27*Supuestos!$C$150*(1-Supuestos!$C$151),0)</f>
        <v>0</v>
      </c>
      <c r="BG15" s="57" t="n">
        <f aca="false">IF(BG8&lt;=Supuestos!$C$152,BG27*Supuestos!$C$150*(1-Supuestos!$C$151),0)</f>
        <v>0</v>
      </c>
      <c r="BH15" s="57" t="n">
        <f aca="false">IF(BH8&lt;=Supuestos!$C$152,BH27*Supuestos!$C$150*(1-Supuestos!$C$151),0)</f>
        <v>0</v>
      </c>
      <c r="BI15" s="57" t="n">
        <f aca="false">IF(BI8&lt;=Supuestos!$C$152,BI27*Supuestos!$C$150*(1-Supuestos!$C$151),0)</f>
        <v>0</v>
      </c>
      <c r="BJ15" s="57" t="n">
        <f aca="false">IF(BJ8&lt;=Supuestos!$C$152,BJ27*Supuestos!$C$150*(1-Supuestos!$C$151),0)</f>
        <v>0</v>
      </c>
      <c r="BK15" s="57" t="n">
        <f aca="false">IF(BK8&lt;=Supuestos!$C$152,BK27*Supuestos!$C$150*(1-Supuestos!$C$151),0)</f>
        <v>0</v>
      </c>
      <c r="BL15" s="57" t="n">
        <f aca="false">IF(BL8&lt;=Supuestos!$C$152,BL27*Supuestos!$C$150*(1-Supuestos!$C$151),0)</f>
        <v>0</v>
      </c>
      <c r="BM15" s="57" t="n">
        <f aca="false">IF(BM8&lt;=Supuestos!$C$152,BM27*Supuestos!$C$150*(1-Supuestos!$C$151),0)</f>
        <v>0</v>
      </c>
      <c r="BN15" s="57" t="n">
        <f aca="false">IF(BN8&lt;=Supuestos!$C$152,BN27*Supuestos!$C$150*(1-Supuestos!$C$151),0)</f>
        <v>0</v>
      </c>
      <c r="BO15" s="57" t="n">
        <f aca="false">IF(BO8&lt;=Supuestos!$C$152,BO27*Supuestos!$C$150*(1-Supuestos!$C$151),0)</f>
        <v>0</v>
      </c>
      <c r="BP15" s="57" t="n">
        <f aca="false">IF(BP8&lt;=Supuestos!$C$152,BP27*Supuestos!$C$150*(1-Supuestos!$C$151),0)</f>
        <v>0</v>
      </c>
      <c r="BQ15" s="57" t="n">
        <f aca="false">IF(BQ8&lt;=Supuestos!$C$152,BQ27*Supuestos!$C$150*(1-Supuestos!$C$151),0)</f>
        <v>0</v>
      </c>
      <c r="BR15" s="57" t="n">
        <f aca="false">IF(BR8&lt;=Supuestos!$C$152,BR27*Supuestos!$C$150*(1-Supuestos!$C$151),0)</f>
        <v>0</v>
      </c>
      <c r="BS15" s="57" t="n">
        <f aca="false">IF(BS8&lt;=Supuestos!$C$152,BS27*Supuestos!$C$150*(1-Supuestos!$C$151),0)</f>
        <v>0</v>
      </c>
      <c r="BT15" s="57" t="n">
        <f aca="false">IF(BT8&lt;=Supuestos!$C$152,BT27*Supuestos!$C$150*(1-Supuestos!$C$151),0)</f>
        <v>0</v>
      </c>
      <c r="BU15" s="57" t="n">
        <f aca="false">IF(BU8&lt;=Supuestos!$C$152,BU27*Supuestos!$C$150*(1-Supuestos!$C$151),0)</f>
        <v>0</v>
      </c>
      <c r="BV15" s="57" t="n">
        <f aca="false">IF(BV8&lt;=Supuestos!$C$152,BV27*Supuestos!$C$150*(1-Supuestos!$C$151),0)</f>
        <v>0</v>
      </c>
      <c r="BW15" s="57" t="n">
        <f aca="false">IF(BW8&lt;=Supuestos!$C$152,BW27*Supuestos!$C$150*(1-Supuestos!$C$151),0)</f>
        <v>0</v>
      </c>
      <c r="BX15" s="57" t="n">
        <f aca="false">IF(BX8&lt;=Supuestos!$C$152,BX27*Supuestos!$C$150*(1-Supuestos!$C$151),0)</f>
        <v>0</v>
      </c>
      <c r="BY15" s="57" t="n">
        <f aca="false">IF(BY8&lt;=Supuestos!$C$152,BY27*Supuestos!$C$150*(1-Supuestos!$C$151),0)</f>
        <v>0</v>
      </c>
      <c r="BZ15" s="57" t="n">
        <f aca="false">IF(BZ8&lt;=Supuestos!$C$152,BZ27*Supuestos!$C$150*(1-Supuestos!$C$151),0)</f>
        <v>0</v>
      </c>
      <c r="CA15" s="57" t="n">
        <f aca="false">IF(CA8&lt;=Supuestos!$C$152,CA27*Supuestos!$C$150*(1-Supuestos!$C$151),0)</f>
        <v>0</v>
      </c>
      <c r="CB15" s="57" t="n">
        <f aca="false">IF(CB8&lt;=Supuestos!$C$152,CB27*Supuestos!$C$150*(1-Supuestos!$C$151),0)</f>
        <v>0</v>
      </c>
      <c r="CC15" s="57" t="n">
        <f aca="false">IF(CC8&lt;=Supuestos!$C$152,CC27*Supuestos!$C$150*(1-Supuestos!$C$151),0)</f>
        <v>0</v>
      </c>
      <c r="CD15" s="57" t="n">
        <f aca="false">IF(CD8&lt;=Supuestos!$C$152,CD27*Supuestos!$C$150*(1-Supuestos!$C$151),0)</f>
        <v>0</v>
      </c>
      <c r="CE15" s="57" t="n">
        <f aca="false">IF(CE8&lt;=Supuestos!$C$152,CE27*Supuestos!$C$150*(1-Supuestos!$C$151),0)</f>
        <v>0</v>
      </c>
      <c r="CF15" s="57" t="n">
        <f aca="false">IF(CF8&lt;=Supuestos!$C$152,CF27*Supuestos!$C$150*(1-Supuestos!$C$151),0)</f>
        <v>0</v>
      </c>
      <c r="CG15" s="57" t="n">
        <f aca="false">IF(CG8&lt;=Supuestos!$C$152,CG27*Supuestos!$C$150*(1-Supuestos!$C$151),0)</f>
        <v>0</v>
      </c>
      <c r="CH15" s="57" t="n">
        <f aca="false">IF(CH8&lt;=Supuestos!$C$152,CH27*Supuestos!$C$150*(1-Supuestos!$C$151),0)</f>
        <v>0</v>
      </c>
      <c r="CI15" s="57" t="n">
        <f aca="false">IF(CI8&lt;=Supuestos!$C$152,CI27*Supuestos!$C$150*(1-Supuestos!$C$151),0)</f>
        <v>0</v>
      </c>
      <c r="CJ15" s="57" t="n">
        <f aca="false">IF(CJ8&lt;=Supuestos!$C$152,CJ27*Supuestos!$C$150*(1-Supuestos!$C$151),0)</f>
        <v>0</v>
      </c>
      <c r="CK15" s="57" t="n">
        <f aca="false">IF(CK8&lt;=Supuestos!$C$152,CK27*Supuestos!$C$150*(1-Supuestos!$C$151),0)</f>
        <v>0</v>
      </c>
      <c r="CL15" s="57" t="n">
        <f aca="false">IF(CL8&lt;=Supuestos!$C$152,CL27*Supuestos!$C$150*(1-Supuestos!$C$151),0)</f>
        <v>0</v>
      </c>
      <c r="CM15" s="57" t="n">
        <f aca="false">IF(CM8&lt;=Supuestos!$C$152,CM27*Supuestos!$C$150*(1-Supuestos!$C$151),0)</f>
        <v>0</v>
      </c>
      <c r="CN15" s="57" t="n">
        <f aca="false">IF(CN8&lt;=Supuestos!$C$152,CN27*Supuestos!$C$150*(1-Supuestos!$C$151),0)</f>
        <v>0</v>
      </c>
      <c r="CO15" s="57" t="n">
        <f aca="false">IF(CO8&lt;=Supuestos!$C$152,CO27*Supuestos!$C$150*(1-Supuestos!$C$151),0)</f>
        <v>0</v>
      </c>
      <c r="CP15" s="57" t="n">
        <f aca="false">IF(CP8&lt;=Supuestos!$C$152,CP27*Supuestos!$C$150*(1-Supuestos!$C$151),0)</f>
        <v>0</v>
      </c>
      <c r="CQ15" s="57" t="n">
        <f aca="false">IF(CQ8&lt;=Supuestos!$C$152,CQ27*Supuestos!$C$150*(1-Supuestos!$C$151),0)</f>
        <v>0</v>
      </c>
      <c r="CR15" s="57" t="n">
        <f aca="false">IF(CR8&lt;=Supuestos!$C$152,CR27*Supuestos!$C$150*(1-Supuestos!$C$151),0)</f>
        <v>0</v>
      </c>
      <c r="CS15" s="57" t="n">
        <f aca="false">IF(CS8&lt;=Supuestos!$C$152,CS27*Supuestos!$C$150*(1-Supuestos!$C$151),0)</f>
        <v>0</v>
      </c>
      <c r="CT15" s="57" t="n">
        <f aca="false">IF(CT8&lt;=Supuestos!$C$152,CT27*Supuestos!$C$150*(1-Supuestos!$C$151),0)</f>
        <v>0</v>
      </c>
    </row>
    <row r="16" customFormat="false" ht="15" hidden="false" customHeight="true" outlineLevel="0" collapsed="false">
      <c r="B16" s="19" t="s">
        <v>698</v>
      </c>
      <c r="C16" s="57" t="n">
        <f aca="false">-(C10+C11+C12+C13+C15)</f>
        <v>-108031670.763335</v>
      </c>
      <c r="D16" s="57" t="n">
        <f aca="false">-(D10+D11+D12+D13+D15)</f>
        <v>-108031670.763335</v>
      </c>
      <c r="E16" s="57" t="n">
        <f aca="false">-(E10+E11+E12+E13+E15)</f>
        <v>-108031670.763335</v>
      </c>
      <c r="F16" s="57" t="n">
        <f aca="false">-(F10+F11+F12+F13+F15)</f>
        <v>-108031670.763335</v>
      </c>
      <c r="G16" s="57" t="n">
        <f aca="false">-(G10+G11+G12+G13+G15)</f>
        <v>-108031670.763335</v>
      </c>
      <c r="H16" s="57" t="n">
        <f aca="false">-(H10+H11+H12+H13+H15)</f>
        <v>-108031670.763335</v>
      </c>
      <c r="I16" s="57" t="n">
        <f aca="false">-(I10+I11+I12+I13+I15)</f>
        <v>-108031670.763335</v>
      </c>
      <c r="J16" s="57" t="n">
        <f aca="false">-(J10+J11+J12+J13+J15)</f>
        <v>-108031670.763335</v>
      </c>
      <c r="K16" s="57" t="n">
        <f aca="false">-(K10+K11+K12+K13+K15)</f>
        <v>-122073337.430002</v>
      </c>
      <c r="L16" s="57" t="n">
        <f aca="false">-(L10+L11+L12+L13+L15)</f>
        <v>-122073337.430002</v>
      </c>
      <c r="M16" s="57" t="n">
        <f aca="false">-(M10+M11+M12+M13+M15)</f>
        <v>-122073337.430002</v>
      </c>
      <c r="N16" s="57" t="n">
        <f aca="false">-(N10+N11+N12+N13+N15)</f>
        <v>-294073337.430002</v>
      </c>
      <c r="O16" s="57" t="n">
        <f aca="false">-(O10+O11+O12+O13+O15)</f>
        <v>-340402638.738571</v>
      </c>
      <c r="P16" s="57" t="n">
        <f aca="false">-(P10+P11+P12+P13+P15)</f>
        <v>-352397636.415939</v>
      </c>
      <c r="Q16" s="57" t="n">
        <f aca="false">-(Q10+Q11+Q12+Q13+Q15)</f>
        <v>-364392634.093306</v>
      </c>
      <c r="R16" s="57" t="n">
        <f aca="false">-(R10+R11+R12+R13+R15)</f>
        <v>-376387631.770673</v>
      </c>
      <c r="S16" s="57" t="n">
        <f aca="false">-(S10+S11+S12+S13+S15)</f>
        <v>-388382629.44804</v>
      </c>
      <c r="T16" s="57" t="n">
        <f aca="false">-(T10+T11+T12+T13+T15)</f>
        <v>-400377627.125407</v>
      </c>
      <c r="U16" s="57" t="n">
        <f aca="false">-(U10+U11+U12+U13+U15)</f>
        <v>-412372624.802775</v>
      </c>
      <c r="V16" s="57" t="n">
        <f aca="false">-(V10+V11+V12+V13+V15)</f>
        <v>-424367622.480142</v>
      </c>
      <c r="W16" s="57" t="n">
        <f aca="false">-(W10+W11+W12+W13+W15)</f>
        <v>-436362620.157509</v>
      </c>
      <c r="X16" s="57" t="n">
        <f aca="false">-(X10+X11+X12+X13+X15)</f>
        <v>-448357617.834876</v>
      </c>
      <c r="Y16" s="57" t="n">
        <f aca="false">-(Y10+Y11+Y12+Y13+Y15)</f>
        <v>-460352615.512243</v>
      </c>
      <c r="Z16" s="57" t="n">
        <f aca="false">-(Z10+Z11+Z12+Z13+Z15)</f>
        <v>-472347613.18961</v>
      </c>
      <c r="AA16" s="57" t="n">
        <f aca="false">-(AA10+AA11+AA12+AA13+AA15)</f>
        <v>-431976636.47244</v>
      </c>
      <c r="AB16" s="57" t="n">
        <f aca="false">-(AB10+AB11+AB12+AB13+AB15)</f>
        <v>-443971634.149807</v>
      </c>
      <c r="AC16" s="57" t="n">
        <f aca="false">-(AC10+AC11+AC12+AC13+AC15)</f>
        <v>-455966631.827175</v>
      </c>
      <c r="AD16" s="57" t="n">
        <f aca="false">-(AD10+AD11+AD12+AD13+AD15)</f>
        <v>-467961629.504542</v>
      </c>
      <c r="AE16" s="57" t="n">
        <f aca="false">-(AE10+AE11+AE12+AE13+AE15)</f>
        <v>-479956627.181909</v>
      </c>
      <c r="AF16" s="57" t="n">
        <f aca="false">-(AF10+AF11+AF12+AF13+AF15)</f>
        <v>-491951624.859276</v>
      </c>
      <c r="AG16" s="57" t="n">
        <f aca="false">-(AG10+AG11+AG12+AG13+AG15)</f>
        <v>-503946622.536643</v>
      </c>
      <c r="AH16" s="57" t="n">
        <f aca="false">-(AH10+AH11+AH12+AH13+AH15)</f>
        <v>-515941620.21401</v>
      </c>
      <c r="AI16" s="57" t="n">
        <f aca="false">-(AI10+AI11+AI12+AI13+AI15)</f>
        <v>-527936617.891378</v>
      </c>
      <c r="AJ16" s="57" t="n">
        <f aca="false">-(AJ10+AJ11+AJ12+AJ13+AJ15)</f>
        <v>-539931615.568745</v>
      </c>
      <c r="AK16" s="57" t="n">
        <f aca="false">-(AK10+AK11+AK12+AK13+AK15)</f>
        <v>-551926613.246112</v>
      </c>
      <c r="AL16" s="57" t="n">
        <f aca="false">-(AL10+AL11+AL12+AL13+AL15)</f>
        <v>-563921610.923479</v>
      </c>
      <c r="AM16" s="57" t="n">
        <f aca="false">-(AM10+AM11+AM12+AM13+AM15)</f>
        <v>-563921610.923479</v>
      </c>
      <c r="AN16" s="57" t="n">
        <f aca="false">-(AN10+AN11+AN12+AN13+AN15)</f>
        <v>-563921610.923479</v>
      </c>
      <c r="AO16" s="57" t="n">
        <f aca="false">-(AO10+AO11+AO12+AO13+AO15)</f>
        <v>-563921610.923479</v>
      </c>
      <c r="AP16" s="57" t="n">
        <f aca="false">-(AP10+AP11+AP12+AP13+AP15)</f>
        <v>-563921610.923479</v>
      </c>
      <c r="AQ16" s="57" t="n">
        <f aca="false">-(AQ10+AQ11+AQ12+AQ13+AQ15)</f>
        <v>-563921610.923479</v>
      </c>
      <c r="AR16" s="57" t="n">
        <f aca="false">-(AR10+AR11+AR12+AR13+AR15)</f>
        <v>-563921610.923479</v>
      </c>
      <c r="AS16" s="57" t="n">
        <f aca="false">-(AS10+AS11+AS12+AS13+AS15)</f>
        <v>-563921610.923479</v>
      </c>
      <c r="AT16" s="57" t="n">
        <f aca="false">-(AT10+AT11+AT12+AT13+AT15)</f>
        <v>-563921610.923479</v>
      </c>
      <c r="AU16" s="57" t="n">
        <f aca="false">-(AU10+AU11+AU12+AU13+AU15)</f>
        <v>-563921610.923479</v>
      </c>
      <c r="AV16" s="57" t="n">
        <f aca="false">-(AV10+AV11+AV12+AV13+AV15)</f>
        <v>-563921610.923479</v>
      </c>
      <c r="AW16" s="57" t="n">
        <f aca="false">-(AW10+AW11+AW12+AW13+AW15)</f>
        <v>-563921610.923479</v>
      </c>
      <c r="AX16" s="57" t="n">
        <f aca="false">-(AX10+AX11+AX12+AX13+AX15)</f>
        <v>-563921610.923479</v>
      </c>
      <c r="AY16" s="57" t="n">
        <f aca="false">-(AY10+AY11+AY12+AY13+AY15)</f>
        <v>-563921610.923479</v>
      </c>
      <c r="AZ16" s="57" t="n">
        <f aca="false">-(AZ10+AZ11+AZ12+AZ13+AZ15)</f>
        <v>-563921610.923479</v>
      </c>
      <c r="BA16" s="57" t="n">
        <f aca="false">-(BA10+BA11+BA12+BA13+BA15)</f>
        <v>-563921610.923479</v>
      </c>
      <c r="BB16" s="57" t="n">
        <f aca="false">-(BB10+BB11+BB12+BB13+BB15)</f>
        <v>-563921610.923479</v>
      </c>
      <c r="BC16" s="57" t="n">
        <f aca="false">-(BC10+BC11+BC12+BC13+BC15)</f>
        <v>-563921610.923479</v>
      </c>
      <c r="BD16" s="57" t="n">
        <f aca="false">-(BD10+BD11+BD12+BD13+BD15)</f>
        <v>-563921610.923479</v>
      </c>
      <c r="BE16" s="57" t="n">
        <f aca="false">-(BE10+BE11+BE12+BE13+BE15)</f>
        <v>-563921610.923479</v>
      </c>
      <c r="BF16" s="57" t="n">
        <f aca="false">-(BF10+BF11+BF12+BF13+BF15)</f>
        <v>-563921610.923479</v>
      </c>
      <c r="BG16" s="57" t="n">
        <f aca="false">-(BG10+BG11+BG12+BG13+BG15)</f>
        <v>-563921610.923479</v>
      </c>
      <c r="BH16" s="57" t="n">
        <f aca="false">-(BH10+BH11+BH12+BH13+BH15)</f>
        <v>-563921610.923479</v>
      </c>
      <c r="BI16" s="57" t="n">
        <f aca="false">-(BI10+BI11+BI12+BI13+BI15)</f>
        <v>-563921610.923479</v>
      </c>
      <c r="BJ16" s="57" t="n">
        <f aca="false">-(BJ10+BJ11+BJ12+BJ13+BJ15)</f>
        <v>-563921610.923479</v>
      </c>
      <c r="BK16" s="57" t="n">
        <f aca="false">-(BK10+BK11+BK12+BK13+BK15)</f>
        <v>-563921610.923479</v>
      </c>
      <c r="BL16" s="57" t="n">
        <f aca="false">-(BL10+BL11+BL12+BL13+BL15)</f>
        <v>-563921610.923479</v>
      </c>
      <c r="BM16" s="57" t="n">
        <f aca="false">-(BM10+BM11+BM12+BM13+BM15)</f>
        <v>-563921610.923479</v>
      </c>
      <c r="BN16" s="57" t="n">
        <f aca="false">-(BN10+BN11+BN12+BN13+BN15)</f>
        <v>-563921610.923479</v>
      </c>
      <c r="BO16" s="57" t="n">
        <f aca="false">-(BO10+BO11+BO12+BO13+BO15)</f>
        <v>-563921610.923479</v>
      </c>
      <c r="BP16" s="57" t="n">
        <f aca="false">-(BP10+BP11+BP12+BP13+BP15)</f>
        <v>-563921610.923479</v>
      </c>
      <c r="BQ16" s="57" t="n">
        <f aca="false">-(BQ10+BQ11+BQ12+BQ13+BQ15)</f>
        <v>-563921610.923479</v>
      </c>
      <c r="BR16" s="57" t="n">
        <f aca="false">-(BR10+BR11+BR12+BR13+BR15)</f>
        <v>-563921610.923479</v>
      </c>
      <c r="BS16" s="57" t="n">
        <f aca="false">-(BS10+BS11+BS12+BS13+BS15)</f>
        <v>-563921610.923479</v>
      </c>
      <c r="BT16" s="57" t="n">
        <f aca="false">-(BT10+BT11+BT12+BT13+BT15)</f>
        <v>-563921610.923479</v>
      </c>
      <c r="BU16" s="57" t="n">
        <f aca="false">-(BU10+BU11+BU12+BU13+BU15)</f>
        <v>-563921610.923479</v>
      </c>
      <c r="BV16" s="57" t="n">
        <f aca="false">-(BV10+BV11+BV12+BV13+BV15)</f>
        <v>-563921610.923479</v>
      </c>
      <c r="BW16" s="57" t="n">
        <f aca="false">-(BW10+BW11+BW12+BW13+BW15)</f>
        <v>-563921610.923479</v>
      </c>
      <c r="BX16" s="57" t="n">
        <f aca="false">-(BX10+BX11+BX12+BX13+BX15)</f>
        <v>-563921610.923479</v>
      </c>
      <c r="BY16" s="57" t="n">
        <f aca="false">-(BY10+BY11+BY12+BY13+BY15)</f>
        <v>-563921610.923479</v>
      </c>
      <c r="BZ16" s="57" t="n">
        <f aca="false">-(BZ10+BZ11+BZ12+BZ13+BZ15)</f>
        <v>-563921610.923479</v>
      </c>
      <c r="CA16" s="57" t="n">
        <f aca="false">-(CA10+CA11+CA12+CA13+CA15)</f>
        <v>-563921610.923479</v>
      </c>
      <c r="CB16" s="57" t="n">
        <f aca="false">-(CB10+CB11+CB12+CB13+CB15)</f>
        <v>-563921610.923479</v>
      </c>
      <c r="CC16" s="57" t="n">
        <f aca="false">-(CC10+CC11+CC12+CC13+CC15)</f>
        <v>-563921610.923479</v>
      </c>
      <c r="CD16" s="57" t="n">
        <f aca="false">-(CD10+CD11+CD12+CD13+CD15)</f>
        <v>-563921610.923479</v>
      </c>
      <c r="CE16" s="57" t="n">
        <f aca="false">-(CE10+CE11+CE12+CE13+CE15)</f>
        <v>-563921610.923479</v>
      </c>
      <c r="CF16" s="57" t="n">
        <f aca="false">-(CF10+CF11+CF12+CF13+CF15)</f>
        <v>-563921610.923479</v>
      </c>
      <c r="CG16" s="57" t="n">
        <f aca="false">-(CG10+CG11+CG12+CG13+CG15)</f>
        <v>-563921610.923479</v>
      </c>
      <c r="CH16" s="57" t="n">
        <f aca="false">-(CH10+CH11+CH12+CH13+CH15)</f>
        <v>-563921610.923479</v>
      </c>
      <c r="CI16" s="57" t="n">
        <f aca="false">-(CI10+CI11+CI12+CI13+CI15)</f>
        <v>-563921610.923479</v>
      </c>
      <c r="CJ16" s="57" t="n">
        <f aca="false">-(CJ10+CJ11+CJ12+CJ13+CJ15)</f>
        <v>-563921610.923479</v>
      </c>
      <c r="CK16" s="57" t="n">
        <f aca="false">-(CK10+CK11+CK12+CK13+CK15)</f>
        <v>-563921610.923479</v>
      </c>
      <c r="CL16" s="57" t="n">
        <f aca="false">-(CL10+CL11+CL12+CL13+CL15)</f>
        <v>-563921610.923479</v>
      </c>
      <c r="CM16" s="57" t="n">
        <f aca="false">-(CM10+CM11+CM12+CM13+CM15)</f>
        <v>-563921610.923479</v>
      </c>
      <c r="CN16" s="57" t="n">
        <f aca="false">-(CN10+CN11+CN12+CN13+CN15)</f>
        <v>-563921610.923479</v>
      </c>
      <c r="CO16" s="57" t="n">
        <f aca="false">-(CO10+CO11+CO12+CO13+CO15)</f>
        <v>-563921610.923479</v>
      </c>
      <c r="CP16" s="57" t="n">
        <f aca="false">-(CP10+CP11+CP12+CP13+CP15)</f>
        <v>-563921610.923479</v>
      </c>
      <c r="CQ16" s="57" t="n">
        <f aca="false">-(CQ10+CQ11+CQ12+CQ13+CQ15)</f>
        <v>-563921610.923479</v>
      </c>
      <c r="CR16" s="57" t="n">
        <f aca="false">-(CR10+CR11+CR12+CR13+CR15)</f>
        <v>-563921610.923479</v>
      </c>
      <c r="CS16" s="57" t="n">
        <f aca="false">-(CS10+CS11+CS12+CS13+CS15)</f>
        <v>-563921610.923479</v>
      </c>
      <c r="CT16" s="57" t="n">
        <f aca="false">-(CT10+CT11+CT12+CT13+CT15)</f>
        <v>-563921610.923479</v>
      </c>
    </row>
    <row r="17" customFormat="false" ht="27" hidden="false" customHeight="true" outlineLevel="0" collapsed="false">
      <c r="B17" s="14" t="s">
        <v>699</v>
      </c>
      <c r="C17" s="57" t="n">
        <f aca="false">-CHOOSE(MIN(C8,4),Supuestos!$C$253,Supuestos!$C$254,Supuestos!$C$255,Supuestos!$C$256)/12</f>
        <v>-14147580.5744531</v>
      </c>
      <c r="D17" s="57" t="n">
        <f aca="false">-CHOOSE(MIN(D8,4),Supuestos!$C$253,Supuestos!$C$254,Supuestos!$C$255,Supuestos!$C$256)/12</f>
        <v>-14147580.5744531</v>
      </c>
      <c r="E17" s="57" t="n">
        <f aca="false">-CHOOSE(MIN(E8,4),Supuestos!$C$253,Supuestos!$C$254,Supuestos!$C$255,Supuestos!$C$256)/12</f>
        <v>-14147580.5744531</v>
      </c>
      <c r="F17" s="57" t="n">
        <f aca="false">-CHOOSE(MIN(F8,4),Supuestos!$C$253,Supuestos!$C$254,Supuestos!$C$255,Supuestos!$C$256)/12</f>
        <v>-14147580.5744531</v>
      </c>
      <c r="G17" s="57" t="n">
        <f aca="false">-CHOOSE(MIN(G8,4),Supuestos!$C$253,Supuestos!$C$254,Supuestos!$C$255,Supuestos!$C$256)/12</f>
        <v>-14147580.5744531</v>
      </c>
      <c r="H17" s="57" t="n">
        <f aca="false">-CHOOSE(MIN(H8,4),Supuestos!$C$253,Supuestos!$C$254,Supuestos!$C$255,Supuestos!$C$256)/12</f>
        <v>-14147580.5744531</v>
      </c>
      <c r="I17" s="57" t="n">
        <f aca="false">-CHOOSE(MIN(I8,4),Supuestos!$C$253,Supuestos!$C$254,Supuestos!$C$255,Supuestos!$C$256)/12</f>
        <v>-14147580.5744531</v>
      </c>
      <c r="J17" s="57" t="n">
        <f aca="false">-CHOOSE(MIN(J8,4),Supuestos!$C$253,Supuestos!$C$254,Supuestos!$C$255,Supuestos!$C$256)/12</f>
        <v>-14147580.5744531</v>
      </c>
      <c r="K17" s="57" t="n">
        <f aca="false">-CHOOSE(MIN(K8,4),Supuestos!$C$253,Supuestos!$C$254,Supuestos!$C$255,Supuestos!$C$256)/12</f>
        <v>-14147580.5744531</v>
      </c>
      <c r="L17" s="57" t="n">
        <f aca="false">-CHOOSE(MIN(L8,4),Supuestos!$C$253,Supuestos!$C$254,Supuestos!$C$255,Supuestos!$C$256)/12</f>
        <v>-14147580.5744531</v>
      </c>
      <c r="M17" s="57" t="n">
        <f aca="false">-CHOOSE(MIN(M8,4),Supuestos!$C$253,Supuestos!$C$254,Supuestos!$C$255,Supuestos!$C$256)/12</f>
        <v>-14147580.5744531</v>
      </c>
      <c r="N17" s="57" t="n">
        <f aca="false">-CHOOSE(MIN(N8,4),Supuestos!$C$253,Supuestos!$C$254,Supuestos!$C$255,Supuestos!$C$256)/12</f>
        <v>-14147580.5744531</v>
      </c>
      <c r="O17" s="57" t="n">
        <f aca="false">-CHOOSE(MIN(O8,4),Supuestos!$C$253,Supuestos!$C$254,Supuestos!$C$255,Supuestos!$C$256)/12</f>
        <v>-0</v>
      </c>
      <c r="P17" s="57" t="n">
        <f aca="false">-CHOOSE(MIN(P8,4),Supuestos!$C$253,Supuestos!$C$254,Supuestos!$C$255,Supuestos!$C$256)/12</f>
        <v>-0</v>
      </c>
      <c r="Q17" s="57" t="n">
        <f aca="false">-CHOOSE(MIN(Q8,4),Supuestos!$C$253,Supuestos!$C$254,Supuestos!$C$255,Supuestos!$C$256)/12</f>
        <v>-0</v>
      </c>
      <c r="R17" s="57" t="n">
        <f aca="false">-CHOOSE(MIN(R8,4),Supuestos!$C$253,Supuestos!$C$254,Supuestos!$C$255,Supuestos!$C$256)/12</f>
        <v>-0</v>
      </c>
      <c r="S17" s="57" t="n">
        <f aca="false">-CHOOSE(MIN(S8,4),Supuestos!$C$253,Supuestos!$C$254,Supuestos!$C$255,Supuestos!$C$256)/12</f>
        <v>-0</v>
      </c>
      <c r="T17" s="57" t="n">
        <f aca="false">-CHOOSE(MIN(T8,4),Supuestos!$C$253,Supuestos!$C$254,Supuestos!$C$255,Supuestos!$C$256)/12</f>
        <v>-0</v>
      </c>
      <c r="U17" s="57" t="n">
        <f aca="false">-CHOOSE(MIN(U8,4),Supuestos!$C$253,Supuestos!$C$254,Supuestos!$C$255,Supuestos!$C$256)/12</f>
        <v>-0</v>
      </c>
      <c r="V17" s="57" t="n">
        <f aca="false">-CHOOSE(MIN(V8,4),Supuestos!$C$253,Supuestos!$C$254,Supuestos!$C$255,Supuestos!$C$256)/12</f>
        <v>-0</v>
      </c>
      <c r="W17" s="57" t="n">
        <f aca="false">-CHOOSE(MIN(W8,4),Supuestos!$C$253,Supuestos!$C$254,Supuestos!$C$255,Supuestos!$C$256)/12</f>
        <v>-0</v>
      </c>
      <c r="X17" s="57" t="n">
        <f aca="false">-CHOOSE(MIN(X8,4),Supuestos!$C$253,Supuestos!$C$254,Supuestos!$C$255,Supuestos!$C$256)/12</f>
        <v>-0</v>
      </c>
      <c r="Y17" s="57" t="n">
        <f aca="false">-CHOOSE(MIN(Y8,4),Supuestos!$C$253,Supuestos!$C$254,Supuestos!$C$255,Supuestos!$C$256)/12</f>
        <v>-0</v>
      </c>
      <c r="Z17" s="57" t="n">
        <f aca="false">-CHOOSE(MIN(Z8,4),Supuestos!$C$253,Supuestos!$C$254,Supuestos!$C$255,Supuestos!$C$256)/12</f>
        <v>-0</v>
      </c>
      <c r="AA17" s="57" t="n">
        <f aca="false">-CHOOSE(MIN(AA8,4),Supuestos!$C$253,Supuestos!$C$254,Supuestos!$C$255,Supuestos!$C$256)/12</f>
        <v>-0</v>
      </c>
      <c r="AB17" s="57" t="n">
        <f aca="false">-CHOOSE(MIN(AB8,4),Supuestos!$C$253,Supuestos!$C$254,Supuestos!$C$255,Supuestos!$C$256)/12</f>
        <v>-0</v>
      </c>
      <c r="AC17" s="57" t="n">
        <f aca="false">-CHOOSE(MIN(AC8,4),Supuestos!$C$253,Supuestos!$C$254,Supuestos!$C$255,Supuestos!$C$256)/12</f>
        <v>-0</v>
      </c>
      <c r="AD17" s="57" t="n">
        <f aca="false">-CHOOSE(MIN(AD8,4),Supuestos!$C$253,Supuestos!$C$254,Supuestos!$C$255,Supuestos!$C$256)/12</f>
        <v>-0</v>
      </c>
      <c r="AE17" s="57" t="n">
        <f aca="false">-CHOOSE(MIN(AE8,4),Supuestos!$C$253,Supuestos!$C$254,Supuestos!$C$255,Supuestos!$C$256)/12</f>
        <v>-0</v>
      </c>
      <c r="AF17" s="57" t="n">
        <f aca="false">-CHOOSE(MIN(AF8,4),Supuestos!$C$253,Supuestos!$C$254,Supuestos!$C$255,Supuestos!$C$256)/12</f>
        <v>-0</v>
      </c>
      <c r="AG17" s="57" t="n">
        <f aca="false">-CHOOSE(MIN(AG8,4),Supuestos!$C$253,Supuestos!$C$254,Supuestos!$C$255,Supuestos!$C$256)/12</f>
        <v>-0</v>
      </c>
      <c r="AH17" s="57" t="n">
        <f aca="false">-CHOOSE(MIN(AH8,4),Supuestos!$C$253,Supuestos!$C$254,Supuestos!$C$255,Supuestos!$C$256)/12</f>
        <v>-0</v>
      </c>
      <c r="AI17" s="57" t="n">
        <f aca="false">-CHOOSE(MIN(AI8,4),Supuestos!$C$253,Supuestos!$C$254,Supuestos!$C$255,Supuestos!$C$256)/12</f>
        <v>-0</v>
      </c>
      <c r="AJ17" s="57" t="n">
        <f aca="false">-CHOOSE(MIN(AJ8,4),Supuestos!$C$253,Supuestos!$C$254,Supuestos!$C$255,Supuestos!$C$256)/12</f>
        <v>-0</v>
      </c>
      <c r="AK17" s="57" t="n">
        <f aca="false">-CHOOSE(MIN(AK8,4),Supuestos!$C$253,Supuestos!$C$254,Supuestos!$C$255,Supuestos!$C$256)/12</f>
        <v>-0</v>
      </c>
      <c r="AL17" s="57" t="n">
        <f aca="false">-CHOOSE(MIN(AL8,4),Supuestos!$C$253,Supuestos!$C$254,Supuestos!$C$255,Supuestos!$C$256)/12</f>
        <v>-0</v>
      </c>
      <c r="AM17" s="57" t="n">
        <f aca="false">-CHOOSE(MIN(AM8,4),Supuestos!$C$253,Supuestos!$C$254,Supuestos!$C$255,Supuestos!$C$256)/12</f>
        <v>-103497298.881146</v>
      </c>
      <c r="AN17" s="57" t="n">
        <f aca="false">-CHOOSE(MIN(AN8,4),Supuestos!$C$253,Supuestos!$C$254,Supuestos!$C$255,Supuestos!$C$256)/12</f>
        <v>-103497298.881146</v>
      </c>
      <c r="AO17" s="57" t="n">
        <f aca="false">-CHOOSE(MIN(AO8,4),Supuestos!$C$253,Supuestos!$C$254,Supuestos!$C$255,Supuestos!$C$256)/12</f>
        <v>-103497298.881146</v>
      </c>
      <c r="AP17" s="57" t="n">
        <f aca="false">-CHOOSE(MIN(AP8,4),Supuestos!$C$253,Supuestos!$C$254,Supuestos!$C$255,Supuestos!$C$256)/12</f>
        <v>-103497298.881146</v>
      </c>
      <c r="AQ17" s="57" t="n">
        <f aca="false">-CHOOSE(MIN(AQ8,4),Supuestos!$C$253,Supuestos!$C$254,Supuestos!$C$255,Supuestos!$C$256)/12</f>
        <v>-103497298.881146</v>
      </c>
      <c r="AR17" s="57" t="n">
        <f aca="false">-CHOOSE(MIN(AR8,4),Supuestos!$C$253,Supuestos!$C$254,Supuestos!$C$255,Supuestos!$C$256)/12</f>
        <v>-103497298.881146</v>
      </c>
      <c r="AS17" s="57" t="n">
        <f aca="false">-CHOOSE(MIN(AS8,4),Supuestos!$C$253,Supuestos!$C$254,Supuestos!$C$255,Supuestos!$C$256)/12</f>
        <v>-103497298.881146</v>
      </c>
      <c r="AT17" s="57" t="n">
        <f aca="false">-CHOOSE(MIN(AT8,4),Supuestos!$C$253,Supuestos!$C$254,Supuestos!$C$255,Supuestos!$C$256)/12</f>
        <v>-103497298.881146</v>
      </c>
      <c r="AU17" s="57" t="n">
        <f aca="false">-CHOOSE(MIN(AU8,4),Supuestos!$C$253,Supuestos!$C$254,Supuestos!$C$255,Supuestos!$C$256)/12</f>
        <v>-103497298.881146</v>
      </c>
      <c r="AV17" s="57" t="n">
        <f aca="false">-CHOOSE(MIN(AV8,4),Supuestos!$C$253,Supuestos!$C$254,Supuestos!$C$255,Supuestos!$C$256)/12</f>
        <v>-103497298.881146</v>
      </c>
      <c r="AW17" s="57" t="n">
        <f aca="false">-CHOOSE(MIN(AW8,4),Supuestos!$C$253,Supuestos!$C$254,Supuestos!$C$255,Supuestos!$C$256)/12</f>
        <v>-103497298.881146</v>
      </c>
      <c r="AX17" s="57" t="n">
        <f aca="false">-CHOOSE(MIN(AX8,4),Supuestos!$C$253,Supuestos!$C$254,Supuestos!$C$255,Supuestos!$C$256)/12</f>
        <v>-103497298.881146</v>
      </c>
      <c r="AY17" s="57" t="n">
        <f aca="false">-CHOOSE(MIN(AY8,4),Supuestos!$C$253,Supuestos!$C$254,Supuestos!$C$255,Supuestos!$C$256)/12</f>
        <v>-103497298.881146</v>
      </c>
      <c r="AZ17" s="57" t="n">
        <f aca="false">-CHOOSE(MIN(AZ8,4),Supuestos!$C$253,Supuestos!$C$254,Supuestos!$C$255,Supuestos!$C$256)/12</f>
        <v>-103497298.881146</v>
      </c>
      <c r="BA17" s="57" t="n">
        <f aca="false">-CHOOSE(MIN(BA8,4),Supuestos!$C$253,Supuestos!$C$254,Supuestos!$C$255,Supuestos!$C$256)/12</f>
        <v>-103497298.881146</v>
      </c>
      <c r="BB17" s="57" t="n">
        <f aca="false">-CHOOSE(MIN(BB8,4),Supuestos!$C$253,Supuestos!$C$254,Supuestos!$C$255,Supuestos!$C$256)/12</f>
        <v>-103497298.881146</v>
      </c>
      <c r="BC17" s="57" t="n">
        <f aca="false">-CHOOSE(MIN(BC8,4),Supuestos!$C$253,Supuestos!$C$254,Supuestos!$C$255,Supuestos!$C$256)/12</f>
        <v>-103497298.881146</v>
      </c>
      <c r="BD17" s="57" t="n">
        <f aca="false">-CHOOSE(MIN(BD8,4),Supuestos!$C$253,Supuestos!$C$254,Supuestos!$C$255,Supuestos!$C$256)/12</f>
        <v>-103497298.881146</v>
      </c>
      <c r="BE17" s="57" t="n">
        <f aca="false">-CHOOSE(MIN(BE8,4),Supuestos!$C$253,Supuestos!$C$254,Supuestos!$C$255,Supuestos!$C$256)/12</f>
        <v>-103497298.881146</v>
      </c>
      <c r="BF17" s="57" t="n">
        <f aca="false">-CHOOSE(MIN(BF8,4),Supuestos!$C$253,Supuestos!$C$254,Supuestos!$C$255,Supuestos!$C$256)/12</f>
        <v>-103497298.881146</v>
      </c>
      <c r="BG17" s="57" t="n">
        <f aca="false">-CHOOSE(MIN(BG8,4),Supuestos!$C$253,Supuestos!$C$254,Supuestos!$C$255,Supuestos!$C$256)/12</f>
        <v>-103497298.881146</v>
      </c>
      <c r="BH17" s="57" t="n">
        <f aca="false">-CHOOSE(MIN(BH8,4),Supuestos!$C$253,Supuestos!$C$254,Supuestos!$C$255,Supuestos!$C$256)/12</f>
        <v>-103497298.881146</v>
      </c>
      <c r="BI17" s="57" t="n">
        <f aca="false">-CHOOSE(MIN(BI8,4),Supuestos!$C$253,Supuestos!$C$254,Supuestos!$C$255,Supuestos!$C$256)/12</f>
        <v>-103497298.881146</v>
      </c>
      <c r="BJ17" s="57" t="n">
        <f aca="false">-CHOOSE(MIN(BJ8,4),Supuestos!$C$253,Supuestos!$C$254,Supuestos!$C$255,Supuestos!$C$256)/12</f>
        <v>-103497298.881146</v>
      </c>
      <c r="BK17" s="57" t="n">
        <f aca="false">-CHOOSE(MIN(BK8,4),Supuestos!$C$253,Supuestos!$C$254,Supuestos!$C$255,Supuestos!$C$256)/12</f>
        <v>-103497298.881146</v>
      </c>
      <c r="BL17" s="57" t="n">
        <f aca="false">-CHOOSE(MIN(BL8,4),Supuestos!$C$253,Supuestos!$C$254,Supuestos!$C$255,Supuestos!$C$256)/12</f>
        <v>-103497298.881146</v>
      </c>
      <c r="BM17" s="57" t="n">
        <f aca="false">-CHOOSE(MIN(BM8,4),Supuestos!$C$253,Supuestos!$C$254,Supuestos!$C$255,Supuestos!$C$256)/12</f>
        <v>-103497298.881146</v>
      </c>
      <c r="BN17" s="57" t="n">
        <f aca="false">-CHOOSE(MIN(BN8,4),Supuestos!$C$253,Supuestos!$C$254,Supuestos!$C$255,Supuestos!$C$256)/12</f>
        <v>-103497298.881146</v>
      </c>
      <c r="BO17" s="57" t="n">
        <f aca="false">-CHOOSE(MIN(BO8,4),Supuestos!$C$253,Supuestos!$C$254,Supuestos!$C$255,Supuestos!$C$256)/12</f>
        <v>-103497298.881146</v>
      </c>
      <c r="BP17" s="57" t="n">
        <f aca="false">-CHOOSE(MIN(BP8,4),Supuestos!$C$253,Supuestos!$C$254,Supuestos!$C$255,Supuestos!$C$256)/12</f>
        <v>-103497298.881146</v>
      </c>
      <c r="BQ17" s="57" t="n">
        <f aca="false">-CHOOSE(MIN(BQ8,4),Supuestos!$C$253,Supuestos!$C$254,Supuestos!$C$255,Supuestos!$C$256)/12</f>
        <v>-103497298.881146</v>
      </c>
      <c r="BR17" s="57" t="n">
        <f aca="false">-CHOOSE(MIN(BR8,4),Supuestos!$C$253,Supuestos!$C$254,Supuestos!$C$255,Supuestos!$C$256)/12</f>
        <v>-103497298.881146</v>
      </c>
      <c r="BS17" s="57" t="n">
        <f aca="false">-CHOOSE(MIN(BS8,4),Supuestos!$C$253,Supuestos!$C$254,Supuestos!$C$255,Supuestos!$C$256)/12</f>
        <v>-103497298.881146</v>
      </c>
      <c r="BT17" s="57" t="n">
        <f aca="false">-CHOOSE(MIN(BT8,4),Supuestos!$C$253,Supuestos!$C$254,Supuestos!$C$255,Supuestos!$C$256)/12</f>
        <v>-103497298.881146</v>
      </c>
      <c r="BU17" s="57" t="n">
        <f aca="false">-CHOOSE(MIN(BU8,4),Supuestos!$C$253,Supuestos!$C$254,Supuestos!$C$255,Supuestos!$C$256)/12</f>
        <v>-103497298.881146</v>
      </c>
      <c r="BV17" s="57" t="n">
        <f aca="false">-CHOOSE(MIN(BV8,4),Supuestos!$C$253,Supuestos!$C$254,Supuestos!$C$255,Supuestos!$C$256)/12</f>
        <v>-103497298.881146</v>
      </c>
      <c r="BW17" s="57" t="n">
        <f aca="false">-CHOOSE(MIN(BW8,4),Supuestos!$C$253,Supuestos!$C$254,Supuestos!$C$255,Supuestos!$C$256)/12</f>
        <v>-103497298.881146</v>
      </c>
      <c r="BX17" s="57" t="n">
        <f aca="false">-CHOOSE(MIN(BX8,4),Supuestos!$C$253,Supuestos!$C$254,Supuestos!$C$255,Supuestos!$C$256)/12</f>
        <v>-103497298.881146</v>
      </c>
      <c r="BY17" s="57" t="n">
        <f aca="false">-CHOOSE(MIN(BY8,4),Supuestos!$C$253,Supuestos!$C$254,Supuestos!$C$255,Supuestos!$C$256)/12</f>
        <v>-103497298.881146</v>
      </c>
      <c r="BZ17" s="57" t="n">
        <f aca="false">-CHOOSE(MIN(BZ8,4),Supuestos!$C$253,Supuestos!$C$254,Supuestos!$C$255,Supuestos!$C$256)/12</f>
        <v>-103497298.881146</v>
      </c>
      <c r="CA17" s="57" t="n">
        <f aca="false">-CHOOSE(MIN(CA8,4),Supuestos!$C$253,Supuestos!$C$254,Supuestos!$C$255,Supuestos!$C$256)/12</f>
        <v>-103497298.881146</v>
      </c>
      <c r="CB17" s="57" t="n">
        <f aca="false">-CHOOSE(MIN(CB8,4),Supuestos!$C$253,Supuestos!$C$254,Supuestos!$C$255,Supuestos!$C$256)/12</f>
        <v>-103497298.881146</v>
      </c>
      <c r="CC17" s="57" t="n">
        <f aca="false">-CHOOSE(MIN(CC8,4),Supuestos!$C$253,Supuestos!$C$254,Supuestos!$C$255,Supuestos!$C$256)/12</f>
        <v>-103497298.881146</v>
      </c>
      <c r="CD17" s="57" t="n">
        <f aca="false">-CHOOSE(MIN(CD8,4),Supuestos!$C$253,Supuestos!$C$254,Supuestos!$C$255,Supuestos!$C$256)/12</f>
        <v>-103497298.881146</v>
      </c>
      <c r="CE17" s="57" t="n">
        <f aca="false">-CHOOSE(MIN(CE8,4),Supuestos!$C$253,Supuestos!$C$254,Supuestos!$C$255,Supuestos!$C$256)/12</f>
        <v>-103497298.881146</v>
      </c>
      <c r="CF17" s="57" t="n">
        <f aca="false">-CHOOSE(MIN(CF8,4),Supuestos!$C$253,Supuestos!$C$254,Supuestos!$C$255,Supuestos!$C$256)/12</f>
        <v>-103497298.881146</v>
      </c>
      <c r="CG17" s="57" t="n">
        <f aca="false">-CHOOSE(MIN(CG8,4),Supuestos!$C$253,Supuestos!$C$254,Supuestos!$C$255,Supuestos!$C$256)/12</f>
        <v>-103497298.881146</v>
      </c>
      <c r="CH17" s="57" t="n">
        <f aca="false">-CHOOSE(MIN(CH8,4),Supuestos!$C$253,Supuestos!$C$254,Supuestos!$C$255,Supuestos!$C$256)/12</f>
        <v>-103497298.881146</v>
      </c>
      <c r="CI17" s="57" t="n">
        <f aca="false">-CHOOSE(MIN(CI8,4),Supuestos!$C$253,Supuestos!$C$254,Supuestos!$C$255,Supuestos!$C$256)/12</f>
        <v>-103497298.881146</v>
      </c>
      <c r="CJ17" s="57" t="n">
        <f aca="false">-CHOOSE(MIN(CJ8,4),Supuestos!$C$253,Supuestos!$C$254,Supuestos!$C$255,Supuestos!$C$256)/12</f>
        <v>-103497298.881146</v>
      </c>
      <c r="CK17" s="57" t="n">
        <f aca="false">-CHOOSE(MIN(CK8,4),Supuestos!$C$253,Supuestos!$C$254,Supuestos!$C$255,Supuestos!$C$256)/12</f>
        <v>-103497298.881146</v>
      </c>
      <c r="CL17" s="57" t="n">
        <f aca="false">-CHOOSE(MIN(CL8,4),Supuestos!$C$253,Supuestos!$C$254,Supuestos!$C$255,Supuestos!$C$256)/12</f>
        <v>-103497298.881146</v>
      </c>
      <c r="CM17" s="57" t="n">
        <f aca="false">-CHOOSE(MIN(CM8,4),Supuestos!$C$253,Supuestos!$C$254,Supuestos!$C$255,Supuestos!$C$256)/12</f>
        <v>-103497298.881146</v>
      </c>
      <c r="CN17" s="57" t="n">
        <f aca="false">-CHOOSE(MIN(CN8,4),Supuestos!$C$253,Supuestos!$C$254,Supuestos!$C$255,Supuestos!$C$256)/12</f>
        <v>-103497298.881146</v>
      </c>
      <c r="CO17" s="57" t="n">
        <f aca="false">-CHOOSE(MIN(CO8,4),Supuestos!$C$253,Supuestos!$C$254,Supuestos!$C$255,Supuestos!$C$256)/12</f>
        <v>-103497298.881146</v>
      </c>
      <c r="CP17" s="57" t="n">
        <f aca="false">-CHOOSE(MIN(CP8,4),Supuestos!$C$253,Supuestos!$C$254,Supuestos!$C$255,Supuestos!$C$256)/12</f>
        <v>-103497298.881146</v>
      </c>
      <c r="CQ17" s="57" t="n">
        <f aca="false">-CHOOSE(MIN(CQ8,4),Supuestos!$C$253,Supuestos!$C$254,Supuestos!$C$255,Supuestos!$C$256)/12</f>
        <v>-103497298.881146</v>
      </c>
      <c r="CR17" s="57" t="n">
        <f aca="false">-CHOOSE(MIN(CR8,4),Supuestos!$C$253,Supuestos!$C$254,Supuestos!$C$255,Supuestos!$C$256)/12</f>
        <v>-103497298.881146</v>
      </c>
      <c r="CS17" s="57" t="n">
        <f aca="false">-CHOOSE(MIN(CS8,4),Supuestos!$C$253,Supuestos!$C$254,Supuestos!$C$255,Supuestos!$C$256)/12</f>
        <v>-103497298.881146</v>
      </c>
      <c r="CT17" s="57" t="n">
        <f aca="false">-CHOOSE(MIN(CT8,4),Supuestos!$C$253,Supuestos!$C$254,Supuestos!$C$255,Supuestos!$C$256)/12</f>
        <v>-103497298.881146</v>
      </c>
    </row>
    <row r="20" customFormat="false" ht="15" hidden="false" customHeight="true" outlineLevel="0" collapsed="false">
      <c r="B20" s="54" t="s">
        <v>700</v>
      </c>
      <c r="C20" s="60" t="n">
        <f aca="false">SUM(C9:C15)+C16+C17</f>
        <v>136377295.666667</v>
      </c>
      <c r="D20" s="60" t="n">
        <f aca="false">SUM(D9:D15)+D16+D17</f>
        <v>136377295.666667</v>
      </c>
      <c r="E20" s="60" t="n">
        <f aca="false">SUM(E9:E15)+E16+E17</f>
        <v>136377295.666667</v>
      </c>
      <c r="F20" s="60" t="n">
        <f aca="false">SUM(F9:F15)+F16+F17</f>
        <v>136377295.666667</v>
      </c>
      <c r="G20" s="60" t="n">
        <f aca="false">SUM(G9:G15)+G16+G17</f>
        <v>136377295.666667</v>
      </c>
      <c r="H20" s="60" t="n">
        <f aca="false">SUM(H9:H15)+H16+H17</f>
        <v>136377295.666667</v>
      </c>
      <c r="I20" s="60" t="n">
        <f aca="false">SUM(I9:I15)+I16+I17</f>
        <v>136377295.666667</v>
      </c>
      <c r="J20" s="60" t="n">
        <f aca="false">SUM(J9:J15)+J16+J17</f>
        <v>136377295.666667</v>
      </c>
      <c r="K20" s="60" t="n">
        <f aca="false">SUM(K9:K15)+K16+K17</f>
        <v>136377295.666667</v>
      </c>
      <c r="L20" s="60" t="n">
        <f aca="false">SUM(L9:L15)+L16+L17</f>
        <v>136377295.666667</v>
      </c>
      <c r="M20" s="60" t="n">
        <f aca="false">SUM(M9:M15)+M16+M17</f>
        <v>136377295.666667</v>
      </c>
      <c r="N20" s="60" t="n">
        <f aca="false">SUM(N9:N15)+N16+N17</f>
        <v>136377295.666667</v>
      </c>
      <c r="O20" s="60" t="n">
        <f aca="false">SUM(O9:O15)+O16+O17</f>
        <v>301049752.48224</v>
      </c>
      <c r="P20" s="60" t="n">
        <f aca="false">SUM(P9:P15)+P16+P17</f>
        <v>301049752.48224</v>
      </c>
      <c r="Q20" s="60" t="n">
        <f aca="false">SUM(Q9:Q15)+Q16+Q17</f>
        <v>301049752.48224</v>
      </c>
      <c r="R20" s="60" t="n">
        <f aca="false">SUM(R9:R15)+R16+R17</f>
        <v>301049752.48224</v>
      </c>
      <c r="S20" s="60" t="n">
        <f aca="false">SUM(S9:S15)+S16+S17</f>
        <v>301049752.48224</v>
      </c>
      <c r="T20" s="60" t="n">
        <f aca="false">SUM(T9:T15)+T16+T17</f>
        <v>301049752.48224</v>
      </c>
      <c r="U20" s="60" t="n">
        <f aca="false">SUM(U9:U15)+U16+U17</f>
        <v>301049752.48224</v>
      </c>
      <c r="V20" s="60" t="n">
        <f aca="false">SUM(V9:V15)+V16+V17</f>
        <v>301049752.48224</v>
      </c>
      <c r="W20" s="60" t="n">
        <f aca="false">SUM(W9:W15)+W16+W17</f>
        <v>301049752.48224</v>
      </c>
      <c r="X20" s="60" t="n">
        <f aca="false">SUM(X9:X15)+X16+X17</f>
        <v>301049752.48224</v>
      </c>
      <c r="Y20" s="60" t="n">
        <f aca="false">SUM(Y9:Y15)+Y16+Y17</f>
        <v>301049752.48224</v>
      </c>
      <c r="Z20" s="60" t="n">
        <f aca="false">SUM(Z9:Z15)+Z16+Z17</f>
        <v>301049752.48224</v>
      </c>
      <c r="AA20" s="60" t="n">
        <f aca="false">SUM(AA9:AA15)+AA16+AA17</f>
        <v>451574628.723359</v>
      </c>
      <c r="AB20" s="60" t="n">
        <f aca="false">SUM(AB9:AB15)+AB16+AB17</f>
        <v>451574628.723359</v>
      </c>
      <c r="AC20" s="60" t="n">
        <f aca="false">SUM(AC9:AC15)+AC16+AC17</f>
        <v>451574628.723359</v>
      </c>
      <c r="AD20" s="60" t="n">
        <f aca="false">SUM(AD9:AD15)+AD16+AD17</f>
        <v>451574628.723359</v>
      </c>
      <c r="AE20" s="60" t="n">
        <f aca="false">SUM(AE9:AE15)+AE16+AE17</f>
        <v>451574628.723359</v>
      </c>
      <c r="AF20" s="60" t="n">
        <f aca="false">SUM(AF9:AF15)+AF16+AF17</f>
        <v>451574628.723359</v>
      </c>
      <c r="AG20" s="60" t="n">
        <f aca="false">SUM(AG9:AG15)+AG16+AG17</f>
        <v>451574628.723359</v>
      </c>
      <c r="AH20" s="60" t="n">
        <f aca="false">SUM(AH9:AH15)+AH16+AH17</f>
        <v>451574628.723359</v>
      </c>
      <c r="AI20" s="60" t="n">
        <f aca="false">SUM(AI9:AI15)+AI16+AI17</f>
        <v>451574628.723359</v>
      </c>
      <c r="AJ20" s="60" t="n">
        <f aca="false">SUM(AJ9:AJ15)+AJ16+AJ17</f>
        <v>451574628.723359</v>
      </c>
      <c r="AK20" s="60" t="n">
        <f aca="false">SUM(AK9:AK15)+AK16+AK17</f>
        <v>451574628.723359</v>
      </c>
      <c r="AL20" s="60" t="n">
        <f aca="false">SUM(AL9:AL15)+AL16+AL17</f>
        <v>451574628.723359</v>
      </c>
      <c r="AM20" s="60" t="n">
        <f aca="false">SUM(AM9:AM15)+AM16+AM17</f>
        <v>498602206.083333</v>
      </c>
      <c r="AN20" s="60" t="n">
        <f aca="false">SUM(AN9:AN15)+AN16+AN17</f>
        <v>498602206.083333</v>
      </c>
      <c r="AO20" s="60" t="n">
        <f aca="false">SUM(AO9:AO15)+AO16+AO17</f>
        <v>498602206.083333</v>
      </c>
      <c r="AP20" s="60" t="n">
        <f aca="false">SUM(AP9:AP15)+AP16+AP17</f>
        <v>498602206.083333</v>
      </c>
      <c r="AQ20" s="60" t="n">
        <f aca="false">SUM(AQ9:AQ15)+AQ16+AQ17</f>
        <v>498602206.083333</v>
      </c>
      <c r="AR20" s="60" t="n">
        <f aca="false">SUM(AR9:AR15)+AR16+AR17</f>
        <v>498602206.083333</v>
      </c>
      <c r="AS20" s="60" t="n">
        <f aca="false">SUM(AS9:AS15)+AS16+AS17</f>
        <v>498602206.083333</v>
      </c>
      <c r="AT20" s="60" t="n">
        <f aca="false">SUM(AT9:AT15)+AT16+AT17</f>
        <v>498602206.083333</v>
      </c>
      <c r="AU20" s="60" t="n">
        <f aca="false">SUM(AU9:AU15)+AU16+AU17</f>
        <v>498602206.083333</v>
      </c>
      <c r="AV20" s="60" t="n">
        <f aca="false">SUM(AV9:AV15)+AV16+AV17</f>
        <v>498602206.083333</v>
      </c>
      <c r="AW20" s="60" t="n">
        <f aca="false">SUM(AW9:AW15)+AW16+AW17</f>
        <v>498602206.083333</v>
      </c>
      <c r="AX20" s="60" t="n">
        <f aca="false">SUM(AX9:AX15)+AX16+AX17</f>
        <v>498602206.083333</v>
      </c>
      <c r="AY20" s="60" t="n">
        <f aca="false">SUM(AY9:AY15)+AY16+AY17</f>
        <v>498602206.083333</v>
      </c>
      <c r="AZ20" s="60" t="n">
        <f aca="false">SUM(AZ9:AZ15)+AZ16+AZ17</f>
        <v>498602206.083333</v>
      </c>
      <c r="BA20" s="60" t="n">
        <f aca="false">SUM(BA9:BA15)+BA16+BA17</f>
        <v>498602206.083333</v>
      </c>
      <c r="BB20" s="60" t="n">
        <f aca="false">SUM(BB9:BB15)+BB16+BB17</f>
        <v>498602206.083333</v>
      </c>
      <c r="BC20" s="60" t="n">
        <f aca="false">SUM(BC9:BC15)+BC16+BC17</f>
        <v>498602206.083333</v>
      </c>
      <c r="BD20" s="60" t="n">
        <f aca="false">SUM(BD9:BD15)+BD16+BD17</f>
        <v>498602206.083333</v>
      </c>
      <c r="BE20" s="60" t="n">
        <f aca="false">SUM(BE9:BE15)+BE16+BE17</f>
        <v>498602206.083333</v>
      </c>
      <c r="BF20" s="60" t="n">
        <f aca="false">SUM(BF9:BF15)+BF16+BF17</f>
        <v>498602206.083333</v>
      </c>
      <c r="BG20" s="60" t="n">
        <f aca="false">SUM(BG9:BG15)+BG16+BG17</f>
        <v>498602206.083333</v>
      </c>
      <c r="BH20" s="60" t="n">
        <f aca="false">SUM(BH9:BH15)+BH16+BH17</f>
        <v>498602206.083333</v>
      </c>
      <c r="BI20" s="60" t="n">
        <f aca="false">SUM(BI9:BI15)+BI16+BI17</f>
        <v>498602206.083333</v>
      </c>
      <c r="BJ20" s="60" t="n">
        <f aca="false">SUM(BJ9:BJ15)+BJ16+BJ17</f>
        <v>498602206.083333</v>
      </c>
      <c r="BK20" s="60" t="n">
        <f aca="false">SUM(BK9:BK15)+BK16+BK17</f>
        <v>498602206.083333</v>
      </c>
      <c r="BL20" s="60" t="n">
        <f aca="false">SUM(BL9:BL15)+BL16+BL17</f>
        <v>498602206.083333</v>
      </c>
      <c r="BM20" s="60" t="n">
        <f aca="false">SUM(BM9:BM15)+BM16+BM17</f>
        <v>498602206.083333</v>
      </c>
      <c r="BN20" s="60" t="n">
        <f aca="false">SUM(BN9:BN15)+BN16+BN17</f>
        <v>498602206.083333</v>
      </c>
      <c r="BO20" s="60" t="n">
        <f aca="false">SUM(BO9:BO15)+BO16+BO17</f>
        <v>498602206.083333</v>
      </c>
      <c r="BP20" s="60" t="n">
        <f aca="false">SUM(BP9:BP15)+BP16+BP17</f>
        <v>498602206.083333</v>
      </c>
      <c r="BQ20" s="60" t="n">
        <f aca="false">SUM(BQ9:BQ15)+BQ16+BQ17</f>
        <v>498602206.083333</v>
      </c>
      <c r="BR20" s="60" t="n">
        <f aca="false">SUM(BR9:BR15)+BR16+BR17</f>
        <v>498602206.083333</v>
      </c>
      <c r="BS20" s="60" t="n">
        <f aca="false">SUM(BS9:BS15)+BS16+BS17</f>
        <v>498602206.083333</v>
      </c>
      <c r="BT20" s="60" t="n">
        <f aca="false">SUM(BT9:BT15)+BT16+BT17</f>
        <v>498602206.083333</v>
      </c>
      <c r="BU20" s="60" t="n">
        <f aca="false">SUM(BU9:BU15)+BU16+BU17</f>
        <v>498602206.083333</v>
      </c>
      <c r="BV20" s="60" t="n">
        <f aca="false">SUM(BV9:BV15)+BV16+BV17</f>
        <v>498602206.083333</v>
      </c>
      <c r="BW20" s="60" t="n">
        <f aca="false">SUM(BW9:BW15)+BW16+BW17</f>
        <v>498602206.083333</v>
      </c>
      <c r="BX20" s="60" t="n">
        <f aca="false">SUM(BX9:BX15)+BX16+BX17</f>
        <v>498602206.083333</v>
      </c>
      <c r="BY20" s="60" t="n">
        <f aca="false">SUM(BY9:BY15)+BY16+BY17</f>
        <v>498602206.083333</v>
      </c>
      <c r="BZ20" s="60" t="n">
        <f aca="false">SUM(BZ9:BZ15)+BZ16+BZ17</f>
        <v>498602206.083333</v>
      </c>
      <c r="CA20" s="60" t="n">
        <f aca="false">SUM(CA9:CA15)+CA16+CA17</f>
        <v>498602206.083333</v>
      </c>
      <c r="CB20" s="60" t="n">
        <f aca="false">SUM(CB9:CB15)+CB16+CB17</f>
        <v>498602206.083333</v>
      </c>
      <c r="CC20" s="60" t="n">
        <f aca="false">SUM(CC9:CC15)+CC16+CC17</f>
        <v>498602206.083333</v>
      </c>
      <c r="CD20" s="60" t="n">
        <f aca="false">SUM(CD9:CD15)+CD16+CD17</f>
        <v>498602206.083333</v>
      </c>
      <c r="CE20" s="60" t="n">
        <f aca="false">SUM(CE9:CE15)+CE16+CE17</f>
        <v>498602206.083333</v>
      </c>
      <c r="CF20" s="60" t="n">
        <f aca="false">SUM(CF9:CF15)+CF16+CF17</f>
        <v>498602206.083333</v>
      </c>
      <c r="CG20" s="60" t="n">
        <f aca="false">SUM(CG9:CG15)+CG16+CG17</f>
        <v>498602206.083333</v>
      </c>
      <c r="CH20" s="60" t="n">
        <f aca="false">SUM(CH9:CH15)+CH16+CH17</f>
        <v>498602206.083333</v>
      </c>
      <c r="CI20" s="60" t="n">
        <f aca="false">SUM(CI9:CI15)+CI16+CI17</f>
        <v>498602206.083333</v>
      </c>
      <c r="CJ20" s="60" t="n">
        <f aca="false">SUM(CJ9:CJ15)+CJ16+CJ17</f>
        <v>498602206.083333</v>
      </c>
      <c r="CK20" s="60" t="n">
        <f aca="false">SUM(CK9:CK15)+CK16+CK17</f>
        <v>498602206.083333</v>
      </c>
      <c r="CL20" s="60" t="n">
        <f aca="false">SUM(CL9:CL15)+CL16+CL17</f>
        <v>498602206.083333</v>
      </c>
      <c r="CM20" s="60" t="n">
        <f aca="false">SUM(CM9:CM15)+CM16+CM17</f>
        <v>498602206.083333</v>
      </c>
      <c r="CN20" s="60" t="n">
        <f aca="false">SUM(CN9:CN15)+CN16+CN17</f>
        <v>498602206.083333</v>
      </c>
      <c r="CO20" s="60" t="n">
        <f aca="false">SUM(CO9:CO15)+CO16+CO17</f>
        <v>498602206.083333</v>
      </c>
      <c r="CP20" s="60" t="n">
        <f aca="false">SUM(CP9:CP15)+CP16+CP17</f>
        <v>498602206.083333</v>
      </c>
      <c r="CQ20" s="60" t="n">
        <f aca="false">SUM(CQ9:CQ15)+CQ16+CQ17</f>
        <v>498602206.083333</v>
      </c>
      <c r="CR20" s="60" t="n">
        <f aca="false">SUM(CR9:CR15)+CR16+CR17</f>
        <v>498602206.083333</v>
      </c>
      <c r="CS20" s="60" t="n">
        <f aca="false">SUM(CS9:CS15)+CS16+CS17</f>
        <v>498602206.083333</v>
      </c>
      <c r="CT20" s="60" t="n">
        <f aca="false">SUM(CT9:CT15)+CT16+CT17</f>
        <v>498602206.083333</v>
      </c>
    </row>
    <row r="22" customFormat="false" ht="75" hidden="false" customHeight="true" outlineLevel="0" collapsed="false">
      <c r="A22" s="2"/>
      <c r="B22" s="22" t="s">
        <v>701</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row>
    <row r="23" customFormat="false" ht="64.5" hidden="false" customHeight="true" outlineLevel="0" collapsed="false">
      <c r="A23" s="2"/>
      <c r="B23" s="22" t="s">
        <v>702</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row>
    <row r="24" customFormat="false" ht="25.5" hidden="false" customHeight="true" outlineLevel="0" collapsed="false">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row>
    <row r="25" customFormat="false" ht="15" hidden="false" customHeight="false" outlineLevel="0" collapsed="false">
      <c r="A25" s="2"/>
      <c r="B25" s="56" t="s">
        <v>703</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row>
    <row r="26" customFormat="false" ht="15" hidden="false" customHeight="false" outlineLevel="0" collapsed="false">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row>
    <row r="27" customFormat="false" ht="15" hidden="false" customHeight="false" outlineLevel="0" collapsed="false">
      <c r="A27" s="2"/>
      <c r="B27" s="19" t="s">
        <v>704</v>
      </c>
      <c r="C27" s="57" t="n">
        <f aca="false">Supuestos!$C$49/12+C9</f>
        <v>192666683.73612</v>
      </c>
      <c r="D27" s="57" t="n">
        <f aca="false">Supuestos!$C$49/12+D9</f>
        <v>192666683.73612</v>
      </c>
      <c r="E27" s="57" t="n">
        <f aca="false">Supuestos!$C$49/12+E9</f>
        <v>192666683.73612</v>
      </c>
      <c r="F27" s="57" t="n">
        <f aca="false">Supuestos!$C$49/12+F9</f>
        <v>192666683.73612</v>
      </c>
      <c r="G27" s="57" t="n">
        <f aca="false">Supuestos!$C$49/12+G9</f>
        <v>192666683.73612</v>
      </c>
      <c r="H27" s="57" t="n">
        <f aca="false">Supuestos!$C$49/12+H9</f>
        <v>192666683.73612</v>
      </c>
      <c r="I27" s="57" t="n">
        <f aca="false">Supuestos!$C$49/12+I9</f>
        <v>192666683.73612</v>
      </c>
      <c r="J27" s="57" t="n">
        <f aca="false">Supuestos!$C$49/12+J9</f>
        <v>192666683.73612</v>
      </c>
      <c r="K27" s="57" t="n">
        <f aca="false">Supuestos!$C$49/12+K9</f>
        <v>192666683.73612</v>
      </c>
      <c r="L27" s="57" t="n">
        <f aca="false">Supuestos!$C$49/12+L9</f>
        <v>192666683.73612</v>
      </c>
      <c r="M27" s="57" t="n">
        <f aca="false">Supuestos!$C$49/12+M9</f>
        <v>192666683.73612</v>
      </c>
      <c r="N27" s="57" t="n">
        <f aca="false">Supuestos!$C$49/12+N9</f>
        <v>192666683.73612</v>
      </c>
      <c r="O27" s="57" t="n">
        <f aca="false">Supuestos!$C$49/12+O9</f>
        <v>343191559.97724</v>
      </c>
      <c r="P27" s="57" t="n">
        <f aca="false">Supuestos!$C$49/12+P9</f>
        <v>343191559.97724</v>
      </c>
      <c r="Q27" s="57" t="n">
        <f aca="false">Supuestos!$C$49/12+Q9</f>
        <v>343191559.97724</v>
      </c>
      <c r="R27" s="57" t="n">
        <f aca="false">Supuestos!$C$49/12+R9</f>
        <v>343191559.97724</v>
      </c>
      <c r="S27" s="57" t="n">
        <f aca="false">Supuestos!$C$49/12+S9</f>
        <v>343191559.97724</v>
      </c>
      <c r="T27" s="57" t="n">
        <f aca="false">Supuestos!$C$49/12+T9</f>
        <v>343191559.97724</v>
      </c>
      <c r="U27" s="57" t="n">
        <f aca="false">Supuestos!$C$49/12+U9</f>
        <v>343191559.97724</v>
      </c>
      <c r="V27" s="57" t="n">
        <f aca="false">Supuestos!$C$49/12+V9</f>
        <v>343191559.97724</v>
      </c>
      <c r="W27" s="57" t="n">
        <f aca="false">Supuestos!$C$49/12+W9</f>
        <v>343191559.97724</v>
      </c>
      <c r="X27" s="57" t="n">
        <f aca="false">Supuestos!$C$49/12+X9</f>
        <v>343191559.97724</v>
      </c>
      <c r="Y27" s="57" t="n">
        <f aca="false">Supuestos!$C$49/12+Y9</f>
        <v>343191559.97724</v>
      </c>
      <c r="Z27" s="57" t="n">
        <f aca="false">Supuestos!$C$49/12+Z9</f>
        <v>343191559.97724</v>
      </c>
      <c r="AA27" s="57" t="n">
        <f aca="false">Supuestos!$C$49/12+AA9</f>
        <v>493716436.218359</v>
      </c>
      <c r="AB27" s="57" t="n">
        <f aca="false">Supuestos!$C$49/12+AB9</f>
        <v>493716436.218359</v>
      </c>
      <c r="AC27" s="57" t="n">
        <f aca="false">Supuestos!$C$49/12+AC9</f>
        <v>493716436.218359</v>
      </c>
      <c r="AD27" s="57" t="n">
        <f aca="false">Supuestos!$C$49/12+AD9</f>
        <v>493716436.218359</v>
      </c>
      <c r="AE27" s="57" t="n">
        <f aca="false">Supuestos!$C$49/12+AE9</f>
        <v>493716436.218359</v>
      </c>
      <c r="AF27" s="57" t="n">
        <f aca="false">Supuestos!$C$49/12+AF9</f>
        <v>493716436.218359</v>
      </c>
      <c r="AG27" s="57" t="n">
        <f aca="false">Supuestos!$C$49/12+AG9</f>
        <v>493716436.218359</v>
      </c>
      <c r="AH27" s="57" t="n">
        <f aca="false">Supuestos!$C$49/12+AH9</f>
        <v>493716436.218359</v>
      </c>
      <c r="AI27" s="57" t="n">
        <f aca="false">Supuestos!$C$49/12+AI9</f>
        <v>493716436.218359</v>
      </c>
      <c r="AJ27" s="57" t="n">
        <f aca="false">Supuestos!$C$49/12+AJ9</f>
        <v>493716436.218359</v>
      </c>
      <c r="AK27" s="57" t="n">
        <f aca="false">Supuestos!$C$49/12+AK9</f>
        <v>493716436.218359</v>
      </c>
      <c r="AL27" s="57" t="n">
        <f aca="false">Supuestos!$C$49/12+AL9</f>
        <v>493716436.218359</v>
      </c>
      <c r="AM27" s="57" t="n">
        <f aca="false">Supuestos!$C$49/12+AM9</f>
        <v>644241312.459479</v>
      </c>
      <c r="AN27" s="57" t="n">
        <f aca="false">Supuestos!$C$49/12+AN9</f>
        <v>644241312.459479</v>
      </c>
      <c r="AO27" s="57" t="n">
        <f aca="false">Supuestos!$C$49/12+AO9</f>
        <v>644241312.459479</v>
      </c>
      <c r="AP27" s="57" t="n">
        <f aca="false">Supuestos!$C$49/12+AP9</f>
        <v>644241312.459479</v>
      </c>
      <c r="AQ27" s="57" t="n">
        <f aca="false">Supuestos!$C$49/12+AQ9</f>
        <v>644241312.459479</v>
      </c>
      <c r="AR27" s="57" t="n">
        <f aca="false">Supuestos!$C$49/12+AR9</f>
        <v>644241312.459479</v>
      </c>
      <c r="AS27" s="57" t="n">
        <f aca="false">Supuestos!$C$49/12+AS9</f>
        <v>644241312.459479</v>
      </c>
      <c r="AT27" s="57" t="n">
        <f aca="false">Supuestos!$C$49/12+AT9</f>
        <v>644241312.459479</v>
      </c>
      <c r="AU27" s="57" t="n">
        <f aca="false">Supuestos!$C$49/12+AU9</f>
        <v>644241312.459479</v>
      </c>
      <c r="AV27" s="57" t="n">
        <f aca="false">Supuestos!$C$49/12+AV9</f>
        <v>644241312.459479</v>
      </c>
      <c r="AW27" s="57" t="n">
        <f aca="false">Supuestos!$C$49/12+AW9</f>
        <v>644241312.459479</v>
      </c>
      <c r="AX27" s="57" t="n">
        <f aca="false">Supuestos!$C$49/12+AX9</f>
        <v>644241312.459479</v>
      </c>
      <c r="AY27" s="57" t="n">
        <f aca="false">Supuestos!$C$49/12+AY9</f>
        <v>644241312.459479</v>
      </c>
      <c r="AZ27" s="57" t="n">
        <f aca="false">Supuestos!$C$49/12+AZ9</f>
        <v>644241312.459479</v>
      </c>
      <c r="BA27" s="57" t="n">
        <f aca="false">Supuestos!$C$49/12+BA9</f>
        <v>644241312.459479</v>
      </c>
      <c r="BB27" s="57" t="n">
        <f aca="false">Supuestos!$C$49/12+BB9</f>
        <v>644241312.459479</v>
      </c>
      <c r="BC27" s="57" t="n">
        <f aca="false">Supuestos!$C$49/12+BC9</f>
        <v>644241312.459479</v>
      </c>
      <c r="BD27" s="57" t="n">
        <f aca="false">Supuestos!$C$49/12+BD9</f>
        <v>644241312.459479</v>
      </c>
      <c r="BE27" s="57" t="n">
        <f aca="false">Supuestos!$C$49/12+BE9</f>
        <v>644241312.459479</v>
      </c>
      <c r="BF27" s="57" t="n">
        <f aca="false">Supuestos!$C$49/12+BF9</f>
        <v>644241312.459479</v>
      </c>
      <c r="BG27" s="57" t="n">
        <f aca="false">Supuestos!$C$49/12+BG9</f>
        <v>644241312.459479</v>
      </c>
      <c r="BH27" s="57" t="n">
        <f aca="false">Supuestos!$C$49/12+BH9</f>
        <v>644241312.459479</v>
      </c>
      <c r="BI27" s="57" t="n">
        <f aca="false">Supuestos!$C$49/12+BI9</f>
        <v>644241312.459479</v>
      </c>
      <c r="BJ27" s="57" t="n">
        <f aca="false">Supuestos!$C$49/12+BJ9</f>
        <v>644241312.459479</v>
      </c>
      <c r="BK27" s="57" t="n">
        <f aca="false">Supuestos!$C$49/12+BK9</f>
        <v>644241312.459479</v>
      </c>
      <c r="BL27" s="57" t="n">
        <f aca="false">Supuestos!$C$49/12+BL9</f>
        <v>644241312.459479</v>
      </c>
      <c r="BM27" s="57" t="n">
        <f aca="false">Supuestos!$C$49/12+BM9</f>
        <v>644241312.459479</v>
      </c>
      <c r="BN27" s="57" t="n">
        <f aca="false">Supuestos!$C$49/12+BN9</f>
        <v>644241312.459479</v>
      </c>
      <c r="BO27" s="57" t="n">
        <f aca="false">Supuestos!$C$49/12+BO9</f>
        <v>644241312.459479</v>
      </c>
      <c r="BP27" s="57" t="n">
        <f aca="false">Supuestos!$C$49/12+BP9</f>
        <v>644241312.459479</v>
      </c>
      <c r="BQ27" s="57" t="n">
        <f aca="false">Supuestos!$C$49/12+BQ9</f>
        <v>644241312.459479</v>
      </c>
      <c r="BR27" s="57" t="n">
        <f aca="false">Supuestos!$C$49/12+BR9</f>
        <v>644241312.459479</v>
      </c>
      <c r="BS27" s="57" t="n">
        <f aca="false">Supuestos!$C$49/12+BS9</f>
        <v>644241312.459479</v>
      </c>
      <c r="BT27" s="57" t="n">
        <f aca="false">Supuestos!$C$49/12+BT9</f>
        <v>644241312.459479</v>
      </c>
      <c r="BU27" s="57" t="n">
        <f aca="false">Supuestos!$C$49/12+BU9</f>
        <v>644241312.459479</v>
      </c>
      <c r="BV27" s="57" t="n">
        <f aca="false">Supuestos!$C$49/12+BV9</f>
        <v>644241312.459479</v>
      </c>
      <c r="BW27" s="57" t="n">
        <f aca="false">Supuestos!$C$49/12+BW9</f>
        <v>644241312.459479</v>
      </c>
      <c r="BX27" s="57" t="n">
        <f aca="false">Supuestos!$C$49/12+BX9</f>
        <v>644241312.459479</v>
      </c>
      <c r="BY27" s="57" t="n">
        <f aca="false">Supuestos!$C$49/12+BY9</f>
        <v>644241312.459479</v>
      </c>
      <c r="BZ27" s="57" t="n">
        <f aca="false">Supuestos!$C$49/12+BZ9</f>
        <v>644241312.459479</v>
      </c>
      <c r="CA27" s="57" t="n">
        <f aca="false">Supuestos!$C$49/12+CA9</f>
        <v>644241312.459479</v>
      </c>
      <c r="CB27" s="57" t="n">
        <f aca="false">Supuestos!$C$49/12+CB9</f>
        <v>644241312.459479</v>
      </c>
      <c r="CC27" s="57" t="n">
        <f aca="false">Supuestos!$C$49/12+CC9</f>
        <v>644241312.459479</v>
      </c>
      <c r="CD27" s="57" t="n">
        <f aca="false">Supuestos!$C$49/12+CD9</f>
        <v>644241312.459479</v>
      </c>
      <c r="CE27" s="57" t="n">
        <f aca="false">Supuestos!$C$49/12+CE9</f>
        <v>644241312.459479</v>
      </c>
      <c r="CF27" s="57" t="n">
        <f aca="false">Supuestos!$C$49/12+CF9</f>
        <v>644241312.459479</v>
      </c>
      <c r="CG27" s="57" t="n">
        <f aca="false">Supuestos!$C$49/12+CG9</f>
        <v>644241312.459479</v>
      </c>
      <c r="CH27" s="57" t="n">
        <f aca="false">Supuestos!$C$49/12+CH9</f>
        <v>644241312.459479</v>
      </c>
      <c r="CI27" s="57" t="n">
        <f aca="false">Supuestos!$C$49/12+CI9</f>
        <v>644241312.459479</v>
      </c>
      <c r="CJ27" s="57" t="n">
        <f aca="false">Supuestos!$C$49/12+CJ9</f>
        <v>644241312.459479</v>
      </c>
      <c r="CK27" s="57" t="n">
        <f aca="false">Supuestos!$C$49/12+CK9</f>
        <v>644241312.459479</v>
      </c>
      <c r="CL27" s="57" t="n">
        <f aca="false">Supuestos!$C$49/12+CL9</f>
        <v>644241312.459479</v>
      </c>
      <c r="CM27" s="57" t="n">
        <f aca="false">Supuestos!$C$49/12+CM9</f>
        <v>644241312.459479</v>
      </c>
      <c r="CN27" s="57" t="n">
        <f aca="false">Supuestos!$C$49/12+CN9</f>
        <v>644241312.459479</v>
      </c>
      <c r="CO27" s="57" t="n">
        <f aca="false">Supuestos!$C$49/12+CO9</f>
        <v>644241312.459479</v>
      </c>
      <c r="CP27" s="57" t="n">
        <f aca="false">Supuestos!$C$49/12+CP9</f>
        <v>644241312.459479</v>
      </c>
      <c r="CQ27" s="57" t="n">
        <f aca="false">Supuestos!$C$49/12+CQ9</f>
        <v>644241312.459479</v>
      </c>
      <c r="CR27" s="57" t="n">
        <f aca="false">Supuestos!$C$49/12+CR9</f>
        <v>644241312.459479</v>
      </c>
      <c r="CS27" s="57" t="n">
        <f aca="false">Supuestos!$C$49/12+CS9</f>
        <v>644241312.459479</v>
      </c>
      <c r="CT27" s="57" t="n">
        <f aca="false">Supuestos!$C$49/12+CT9</f>
        <v>644241312.459479</v>
      </c>
    </row>
    <row r="28" customFormat="false" ht="15" hidden="false" customHeight="false" outlineLevel="0" collapsed="false">
      <c r="A28" s="2"/>
      <c r="B28" s="19" t="s">
        <v>705</v>
      </c>
      <c r="C28" s="57" t="n">
        <f aca="false">C27*Supuestos!$C$150</f>
        <v>115600010.241672</v>
      </c>
      <c r="D28" s="57" t="n">
        <f aca="false">D27*Supuestos!$C$150</f>
        <v>115600010.241672</v>
      </c>
      <c r="E28" s="57" t="n">
        <f aca="false">E27*Supuestos!$C$150</f>
        <v>115600010.241672</v>
      </c>
      <c r="F28" s="57" t="n">
        <f aca="false">F27*Supuestos!$C$150</f>
        <v>115600010.241672</v>
      </c>
      <c r="G28" s="57" t="n">
        <f aca="false">G27*Supuestos!$C$150</f>
        <v>115600010.241672</v>
      </c>
      <c r="H28" s="57" t="n">
        <f aca="false">H27*Supuestos!$C$150</f>
        <v>115600010.241672</v>
      </c>
      <c r="I28" s="57" t="n">
        <f aca="false">I27*Supuestos!$C$150</f>
        <v>115600010.241672</v>
      </c>
      <c r="J28" s="57" t="n">
        <f aca="false">J27*Supuestos!$C$150</f>
        <v>115600010.241672</v>
      </c>
      <c r="K28" s="57" t="n">
        <f aca="false">K27*Supuestos!$C$150</f>
        <v>115600010.241672</v>
      </c>
      <c r="L28" s="57" t="n">
        <f aca="false">L27*Supuestos!$C$150</f>
        <v>115600010.241672</v>
      </c>
      <c r="M28" s="57" t="n">
        <f aca="false">M27*Supuestos!$C$150</f>
        <v>115600010.241672</v>
      </c>
      <c r="N28" s="57" t="n">
        <f aca="false">N27*Supuestos!$C$150</f>
        <v>115600010.241672</v>
      </c>
      <c r="O28" s="57" t="n">
        <f aca="false">O27*Supuestos!$C$150</f>
        <v>205914935.986344</v>
      </c>
      <c r="P28" s="57" t="n">
        <f aca="false">P27*Supuestos!$C$150</f>
        <v>205914935.986344</v>
      </c>
      <c r="Q28" s="57" t="n">
        <f aca="false">Q27*Supuestos!$C$150</f>
        <v>205914935.986344</v>
      </c>
      <c r="R28" s="57" t="n">
        <f aca="false">R27*Supuestos!$C$150</f>
        <v>205914935.986344</v>
      </c>
      <c r="S28" s="57" t="n">
        <f aca="false">S27*Supuestos!$C$150</f>
        <v>205914935.986344</v>
      </c>
      <c r="T28" s="57" t="n">
        <f aca="false">T27*Supuestos!$C$150</f>
        <v>205914935.986344</v>
      </c>
      <c r="U28" s="57" t="n">
        <f aca="false">U27*Supuestos!$C$150</f>
        <v>205914935.986344</v>
      </c>
      <c r="V28" s="57" t="n">
        <f aca="false">V27*Supuestos!$C$150</f>
        <v>205914935.986344</v>
      </c>
      <c r="W28" s="57" t="n">
        <f aca="false">W27*Supuestos!$C$150</f>
        <v>205914935.986344</v>
      </c>
      <c r="X28" s="57" t="n">
        <f aca="false">X27*Supuestos!$C$150</f>
        <v>205914935.986344</v>
      </c>
      <c r="Y28" s="57" t="n">
        <f aca="false">Y27*Supuestos!$C$150</f>
        <v>205914935.986344</v>
      </c>
      <c r="Z28" s="57" t="n">
        <f aca="false">Z27*Supuestos!$C$150</f>
        <v>205914935.986344</v>
      </c>
      <c r="AA28" s="57" t="n">
        <f aca="false">AA27*Supuestos!$C$150</f>
        <v>296229861.731016</v>
      </c>
      <c r="AB28" s="57" t="n">
        <f aca="false">AB27*Supuestos!$C$150</f>
        <v>296229861.731016</v>
      </c>
      <c r="AC28" s="57" t="n">
        <f aca="false">AC27*Supuestos!$C$150</f>
        <v>296229861.731016</v>
      </c>
      <c r="AD28" s="57" t="n">
        <f aca="false">AD27*Supuestos!$C$150</f>
        <v>296229861.731016</v>
      </c>
      <c r="AE28" s="57" t="n">
        <f aca="false">AE27*Supuestos!$C$150</f>
        <v>296229861.731016</v>
      </c>
      <c r="AF28" s="57" t="n">
        <f aca="false">AF27*Supuestos!$C$150</f>
        <v>296229861.731016</v>
      </c>
      <c r="AG28" s="57" t="n">
        <f aca="false">AG27*Supuestos!$C$150</f>
        <v>296229861.731016</v>
      </c>
      <c r="AH28" s="57" t="n">
        <f aca="false">AH27*Supuestos!$C$150</f>
        <v>296229861.731016</v>
      </c>
      <c r="AI28" s="57" t="n">
        <f aca="false">AI27*Supuestos!$C$150</f>
        <v>296229861.731016</v>
      </c>
      <c r="AJ28" s="57" t="n">
        <f aca="false">AJ27*Supuestos!$C$150</f>
        <v>296229861.731016</v>
      </c>
      <c r="AK28" s="57" t="n">
        <f aca="false">AK27*Supuestos!$C$150</f>
        <v>296229861.731016</v>
      </c>
      <c r="AL28" s="57" t="n">
        <f aca="false">AL27*Supuestos!$C$150</f>
        <v>296229861.731016</v>
      </c>
      <c r="AM28" s="57" t="n">
        <f aca="false">AM27*Supuestos!$C$150</f>
        <v>386544787.475688</v>
      </c>
      <c r="AN28" s="57" t="n">
        <f aca="false">AN27*Supuestos!$C$150</f>
        <v>386544787.475688</v>
      </c>
      <c r="AO28" s="57" t="n">
        <f aca="false">AO27*Supuestos!$C$150</f>
        <v>386544787.475688</v>
      </c>
      <c r="AP28" s="57" t="n">
        <f aca="false">AP27*Supuestos!$C$150</f>
        <v>386544787.475688</v>
      </c>
      <c r="AQ28" s="57" t="n">
        <f aca="false">AQ27*Supuestos!$C$150</f>
        <v>386544787.475688</v>
      </c>
      <c r="AR28" s="57" t="n">
        <f aca="false">AR27*Supuestos!$C$150</f>
        <v>386544787.475688</v>
      </c>
      <c r="AS28" s="57" t="n">
        <f aca="false">AS27*Supuestos!$C$150</f>
        <v>386544787.475688</v>
      </c>
      <c r="AT28" s="57" t="n">
        <f aca="false">AT27*Supuestos!$C$150</f>
        <v>386544787.475688</v>
      </c>
      <c r="AU28" s="57" t="n">
        <f aca="false">AU27*Supuestos!$C$150</f>
        <v>386544787.475688</v>
      </c>
      <c r="AV28" s="57" t="n">
        <f aca="false">AV27*Supuestos!$C$150</f>
        <v>386544787.475688</v>
      </c>
      <c r="AW28" s="57" t="n">
        <f aca="false">AW27*Supuestos!$C$150</f>
        <v>386544787.475688</v>
      </c>
      <c r="AX28" s="57" t="n">
        <f aca="false">AX27*Supuestos!$C$150</f>
        <v>386544787.475688</v>
      </c>
      <c r="AY28" s="57" t="n">
        <f aca="false">AY27*Supuestos!$C$150</f>
        <v>386544787.475688</v>
      </c>
      <c r="AZ28" s="57" t="n">
        <f aca="false">AZ27*Supuestos!$C$150</f>
        <v>386544787.475688</v>
      </c>
      <c r="BA28" s="57" t="n">
        <f aca="false">BA27*Supuestos!$C$150</f>
        <v>386544787.475688</v>
      </c>
      <c r="BB28" s="57" t="n">
        <f aca="false">BB27*Supuestos!$C$150</f>
        <v>386544787.475688</v>
      </c>
      <c r="BC28" s="57" t="n">
        <f aca="false">BC27*Supuestos!$C$150</f>
        <v>386544787.475688</v>
      </c>
      <c r="BD28" s="57" t="n">
        <f aca="false">BD27*Supuestos!$C$150</f>
        <v>386544787.475688</v>
      </c>
      <c r="BE28" s="57" t="n">
        <f aca="false">BE27*Supuestos!$C$150</f>
        <v>386544787.475688</v>
      </c>
      <c r="BF28" s="57" t="n">
        <f aca="false">BF27*Supuestos!$C$150</f>
        <v>386544787.475688</v>
      </c>
      <c r="BG28" s="57" t="n">
        <f aca="false">BG27*Supuestos!$C$150</f>
        <v>386544787.475688</v>
      </c>
      <c r="BH28" s="57" t="n">
        <f aca="false">BH27*Supuestos!$C$150</f>
        <v>386544787.475688</v>
      </c>
      <c r="BI28" s="57" t="n">
        <f aca="false">BI27*Supuestos!$C$150</f>
        <v>386544787.475688</v>
      </c>
      <c r="BJ28" s="57" t="n">
        <f aca="false">BJ27*Supuestos!$C$150</f>
        <v>386544787.475688</v>
      </c>
      <c r="BK28" s="57" t="n">
        <f aca="false">BK27*Supuestos!$C$150</f>
        <v>386544787.475688</v>
      </c>
      <c r="BL28" s="57" t="n">
        <f aca="false">BL27*Supuestos!$C$150</f>
        <v>386544787.475688</v>
      </c>
      <c r="BM28" s="57" t="n">
        <f aca="false">BM27*Supuestos!$C$150</f>
        <v>386544787.475688</v>
      </c>
      <c r="BN28" s="57" t="n">
        <f aca="false">BN27*Supuestos!$C$150</f>
        <v>386544787.475688</v>
      </c>
      <c r="BO28" s="57" t="n">
        <f aca="false">BO27*Supuestos!$C$150</f>
        <v>386544787.475688</v>
      </c>
      <c r="BP28" s="57" t="n">
        <f aca="false">BP27*Supuestos!$C$150</f>
        <v>386544787.475688</v>
      </c>
      <c r="BQ28" s="57" t="n">
        <f aca="false">BQ27*Supuestos!$C$150</f>
        <v>386544787.475688</v>
      </c>
      <c r="BR28" s="57" t="n">
        <f aca="false">BR27*Supuestos!$C$150</f>
        <v>386544787.475688</v>
      </c>
      <c r="BS28" s="57" t="n">
        <f aca="false">BS27*Supuestos!$C$150</f>
        <v>386544787.475688</v>
      </c>
      <c r="BT28" s="57" t="n">
        <f aca="false">BT27*Supuestos!$C$150</f>
        <v>386544787.475688</v>
      </c>
      <c r="BU28" s="57" t="n">
        <f aca="false">BU27*Supuestos!$C$150</f>
        <v>386544787.475688</v>
      </c>
      <c r="BV28" s="57" t="n">
        <f aca="false">BV27*Supuestos!$C$150</f>
        <v>386544787.475688</v>
      </c>
      <c r="BW28" s="57" t="n">
        <f aca="false">BW27*Supuestos!$C$150</f>
        <v>386544787.475688</v>
      </c>
      <c r="BX28" s="57" t="n">
        <f aca="false">BX27*Supuestos!$C$150</f>
        <v>386544787.475688</v>
      </c>
      <c r="BY28" s="57" t="n">
        <f aca="false">BY27*Supuestos!$C$150</f>
        <v>386544787.475688</v>
      </c>
      <c r="BZ28" s="57" t="n">
        <f aca="false">BZ27*Supuestos!$C$150</f>
        <v>386544787.475688</v>
      </c>
      <c r="CA28" s="57" t="n">
        <f aca="false">CA27*Supuestos!$C$150</f>
        <v>386544787.475688</v>
      </c>
      <c r="CB28" s="57" t="n">
        <f aca="false">CB27*Supuestos!$C$150</f>
        <v>386544787.475688</v>
      </c>
      <c r="CC28" s="57" t="n">
        <f aca="false">CC27*Supuestos!$C$150</f>
        <v>386544787.475688</v>
      </c>
      <c r="CD28" s="57" t="n">
        <f aca="false">CD27*Supuestos!$C$150</f>
        <v>386544787.475688</v>
      </c>
      <c r="CE28" s="57" t="n">
        <f aca="false">CE27*Supuestos!$C$150</f>
        <v>386544787.475688</v>
      </c>
      <c r="CF28" s="57" t="n">
        <f aca="false">CF27*Supuestos!$C$150</f>
        <v>386544787.475688</v>
      </c>
      <c r="CG28" s="57" t="n">
        <f aca="false">CG27*Supuestos!$C$150</f>
        <v>386544787.475688</v>
      </c>
      <c r="CH28" s="57" t="n">
        <f aca="false">CH27*Supuestos!$C$150</f>
        <v>386544787.475688</v>
      </c>
      <c r="CI28" s="57" t="n">
        <f aca="false">CI27*Supuestos!$C$150</f>
        <v>386544787.475688</v>
      </c>
      <c r="CJ28" s="57" t="n">
        <f aca="false">CJ27*Supuestos!$C$150</f>
        <v>386544787.475688</v>
      </c>
      <c r="CK28" s="57" t="n">
        <f aca="false">CK27*Supuestos!$C$150</f>
        <v>386544787.475688</v>
      </c>
      <c r="CL28" s="57" t="n">
        <f aca="false">CL27*Supuestos!$C$150</f>
        <v>386544787.475688</v>
      </c>
      <c r="CM28" s="57" t="n">
        <f aca="false">CM27*Supuestos!$C$150</f>
        <v>386544787.475688</v>
      </c>
      <c r="CN28" s="57" t="n">
        <f aca="false">CN27*Supuestos!$C$150</f>
        <v>386544787.475688</v>
      </c>
      <c r="CO28" s="57" t="n">
        <f aca="false">CO27*Supuestos!$C$150</f>
        <v>386544787.475688</v>
      </c>
      <c r="CP28" s="57" t="n">
        <f aca="false">CP27*Supuestos!$C$150</f>
        <v>386544787.475688</v>
      </c>
      <c r="CQ28" s="57" t="n">
        <f aca="false">CQ27*Supuestos!$C$150</f>
        <v>386544787.475688</v>
      </c>
      <c r="CR28" s="57" t="n">
        <f aca="false">CR27*Supuestos!$C$150</f>
        <v>386544787.475688</v>
      </c>
      <c r="CS28" s="57" t="n">
        <f aca="false">CS27*Supuestos!$C$150</f>
        <v>386544787.475688</v>
      </c>
      <c r="CT28" s="57" t="n">
        <f aca="false">CT27*Supuestos!$C$150</f>
        <v>386544787.475688</v>
      </c>
    </row>
    <row r="29" customFormat="false" ht="15" hidden="false" customHeight="false" outlineLevel="0" collapsed="false">
      <c r="A29" s="2"/>
      <c r="B29" s="19" t="s">
        <v>706</v>
      </c>
      <c r="C29" s="57" t="n">
        <f aca="false">C27*(1-Supuestos!$C$150)</f>
        <v>77066673.4944479</v>
      </c>
      <c r="D29" s="57" t="n">
        <f aca="false">D27*(1-Supuestos!$C$150)</f>
        <v>77066673.4944479</v>
      </c>
      <c r="E29" s="57" t="n">
        <f aca="false">E27*(1-Supuestos!$C$150)</f>
        <v>77066673.4944479</v>
      </c>
      <c r="F29" s="57" t="n">
        <f aca="false">F27*(1-Supuestos!$C$150)</f>
        <v>77066673.4944479</v>
      </c>
      <c r="G29" s="57" t="n">
        <f aca="false">G27*(1-Supuestos!$C$150)</f>
        <v>77066673.4944479</v>
      </c>
      <c r="H29" s="57" t="n">
        <f aca="false">H27*(1-Supuestos!$C$150)</f>
        <v>77066673.4944479</v>
      </c>
      <c r="I29" s="57" t="n">
        <f aca="false">I27*(1-Supuestos!$C$150)</f>
        <v>77066673.4944479</v>
      </c>
      <c r="J29" s="57" t="n">
        <f aca="false">J27*(1-Supuestos!$C$150)</f>
        <v>77066673.4944479</v>
      </c>
      <c r="K29" s="57" t="n">
        <f aca="false">K27*(1-Supuestos!$C$150)</f>
        <v>77066673.4944479</v>
      </c>
      <c r="L29" s="57" t="n">
        <f aca="false">L27*(1-Supuestos!$C$150)</f>
        <v>77066673.4944479</v>
      </c>
      <c r="M29" s="57" t="n">
        <f aca="false">M27*(1-Supuestos!$C$150)</f>
        <v>77066673.4944479</v>
      </c>
      <c r="N29" s="57" t="n">
        <f aca="false">N27*(1-Supuestos!$C$150)</f>
        <v>77066673.4944479</v>
      </c>
      <c r="O29" s="57" t="n">
        <f aca="false">O27*(1-Supuestos!$C$150)</f>
        <v>137276623.990896</v>
      </c>
      <c r="P29" s="57" t="n">
        <f aca="false">P27*(1-Supuestos!$C$150)</f>
        <v>137276623.990896</v>
      </c>
      <c r="Q29" s="57" t="n">
        <f aca="false">Q27*(1-Supuestos!$C$150)</f>
        <v>137276623.990896</v>
      </c>
      <c r="R29" s="57" t="n">
        <f aca="false">R27*(1-Supuestos!$C$150)</f>
        <v>137276623.990896</v>
      </c>
      <c r="S29" s="57" t="n">
        <f aca="false">S27*(1-Supuestos!$C$150)</f>
        <v>137276623.990896</v>
      </c>
      <c r="T29" s="57" t="n">
        <f aca="false">T27*(1-Supuestos!$C$150)</f>
        <v>137276623.990896</v>
      </c>
      <c r="U29" s="57" t="n">
        <f aca="false">U27*(1-Supuestos!$C$150)</f>
        <v>137276623.990896</v>
      </c>
      <c r="V29" s="57" t="n">
        <f aca="false">V27*(1-Supuestos!$C$150)</f>
        <v>137276623.990896</v>
      </c>
      <c r="W29" s="57" t="n">
        <f aca="false">W27*(1-Supuestos!$C$150)</f>
        <v>137276623.990896</v>
      </c>
      <c r="X29" s="57" t="n">
        <f aca="false">X27*(1-Supuestos!$C$150)</f>
        <v>137276623.990896</v>
      </c>
      <c r="Y29" s="57" t="n">
        <f aca="false">Y27*(1-Supuestos!$C$150)</f>
        <v>137276623.990896</v>
      </c>
      <c r="Z29" s="57" t="n">
        <f aca="false">Z27*(1-Supuestos!$C$150)</f>
        <v>137276623.990896</v>
      </c>
      <c r="AA29" s="57" t="n">
        <f aca="false">AA27*(1-Supuestos!$C$150)</f>
        <v>197486574.487344</v>
      </c>
      <c r="AB29" s="57" t="n">
        <f aca="false">AB27*(1-Supuestos!$C$150)</f>
        <v>197486574.487344</v>
      </c>
      <c r="AC29" s="57" t="n">
        <f aca="false">AC27*(1-Supuestos!$C$150)</f>
        <v>197486574.487344</v>
      </c>
      <c r="AD29" s="57" t="n">
        <f aca="false">AD27*(1-Supuestos!$C$150)</f>
        <v>197486574.487344</v>
      </c>
      <c r="AE29" s="57" t="n">
        <f aca="false">AE27*(1-Supuestos!$C$150)</f>
        <v>197486574.487344</v>
      </c>
      <c r="AF29" s="57" t="n">
        <f aca="false">AF27*(1-Supuestos!$C$150)</f>
        <v>197486574.487344</v>
      </c>
      <c r="AG29" s="57" t="n">
        <f aca="false">AG27*(1-Supuestos!$C$150)</f>
        <v>197486574.487344</v>
      </c>
      <c r="AH29" s="57" t="n">
        <f aca="false">AH27*(1-Supuestos!$C$150)</f>
        <v>197486574.487344</v>
      </c>
      <c r="AI29" s="57" t="n">
        <f aca="false">AI27*(1-Supuestos!$C$150)</f>
        <v>197486574.487344</v>
      </c>
      <c r="AJ29" s="57" t="n">
        <f aca="false">AJ27*(1-Supuestos!$C$150)</f>
        <v>197486574.487344</v>
      </c>
      <c r="AK29" s="57" t="n">
        <f aca="false">AK27*(1-Supuestos!$C$150)</f>
        <v>197486574.487344</v>
      </c>
      <c r="AL29" s="57" t="n">
        <f aca="false">AL27*(1-Supuestos!$C$150)</f>
        <v>197486574.487344</v>
      </c>
      <c r="AM29" s="57" t="n">
        <f aca="false">AM27*(1-Supuestos!$C$150)</f>
        <v>257696524.983792</v>
      </c>
      <c r="AN29" s="57" t="n">
        <f aca="false">AN27*(1-Supuestos!$C$150)</f>
        <v>257696524.983792</v>
      </c>
      <c r="AO29" s="57" t="n">
        <f aca="false">AO27*(1-Supuestos!$C$150)</f>
        <v>257696524.983792</v>
      </c>
      <c r="AP29" s="57" t="n">
        <f aca="false">AP27*(1-Supuestos!$C$150)</f>
        <v>257696524.983792</v>
      </c>
      <c r="AQ29" s="57" t="n">
        <f aca="false">AQ27*(1-Supuestos!$C$150)</f>
        <v>257696524.983792</v>
      </c>
      <c r="AR29" s="57" t="n">
        <f aca="false">AR27*(1-Supuestos!$C$150)</f>
        <v>257696524.983792</v>
      </c>
      <c r="AS29" s="57" t="n">
        <f aca="false">AS27*(1-Supuestos!$C$150)</f>
        <v>257696524.983792</v>
      </c>
      <c r="AT29" s="57" t="n">
        <f aca="false">AT27*(1-Supuestos!$C$150)</f>
        <v>257696524.983792</v>
      </c>
      <c r="AU29" s="57" t="n">
        <f aca="false">AU27*(1-Supuestos!$C$150)</f>
        <v>257696524.983792</v>
      </c>
      <c r="AV29" s="57" t="n">
        <f aca="false">AV27*(1-Supuestos!$C$150)</f>
        <v>257696524.983792</v>
      </c>
      <c r="AW29" s="57" t="n">
        <f aca="false">AW27*(1-Supuestos!$C$150)</f>
        <v>257696524.983792</v>
      </c>
      <c r="AX29" s="57" t="n">
        <f aca="false">AX27*(1-Supuestos!$C$150)</f>
        <v>257696524.983792</v>
      </c>
      <c r="AY29" s="57" t="n">
        <f aca="false">AY27*(1-Supuestos!$C$150)</f>
        <v>257696524.983792</v>
      </c>
      <c r="AZ29" s="57" t="n">
        <f aca="false">AZ27*(1-Supuestos!$C$150)</f>
        <v>257696524.983792</v>
      </c>
      <c r="BA29" s="57" t="n">
        <f aca="false">BA27*(1-Supuestos!$C$150)</f>
        <v>257696524.983792</v>
      </c>
      <c r="BB29" s="57" t="n">
        <f aca="false">BB27*(1-Supuestos!$C$150)</f>
        <v>257696524.983792</v>
      </c>
      <c r="BC29" s="57" t="n">
        <f aca="false">BC27*(1-Supuestos!$C$150)</f>
        <v>257696524.983792</v>
      </c>
      <c r="BD29" s="57" t="n">
        <f aca="false">BD27*(1-Supuestos!$C$150)</f>
        <v>257696524.983792</v>
      </c>
      <c r="BE29" s="57" t="n">
        <f aca="false">BE27*(1-Supuestos!$C$150)</f>
        <v>257696524.983792</v>
      </c>
      <c r="BF29" s="57" t="n">
        <f aca="false">BF27*(1-Supuestos!$C$150)</f>
        <v>257696524.983792</v>
      </c>
      <c r="BG29" s="57" t="n">
        <f aca="false">BG27*(1-Supuestos!$C$150)</f>
        <v>257696524.983792</v>
      </c>
      <c r="BH29" s="57" t="n">
        <f aca="false">BH27*(1-Supuestos!$C$150)</f>
        <v>257696524.983792</v>
      </c>
      <c r="BI29" s="57" t="n">
        <f aca="false">BI27*(1-Supuestos!$C$150)</f>
        <v>257696524.983792</v>
      </c>
      <c r="BJ29" s="57" t="n">
        <f aca="false">BJ27*(1-Supuestos!$C$150)</f>
        <v>257696524.983792</v>
      </c>
      <c r="BK29" s="57" t="n">
        <f aca="false">BK27*(1-Supuestos!$C$150)</f>
        <v>257696524.983792</v>
      </c>
      <c r="BL29" s="57" t="n">
        <f aca="false">BL27*(1-Supuestos!$C$150)</f>
        <v>257696524.983792</v>
      </c>
      <c r="BM29" s="57" t="n">
        <f aca="false">BM27*(1-Supuestos!$C$150)</f>
        <v>257696524.983792</v>
      </c>
      <c r="BN29" s="57" t="n">
        <f aca="false">BN27*(1-Supuestos!$C$150)</f>
        <v>257696524.983792</v>
      </c>
      <c r="BO29" s="57" t="n">
        <f aca="false">BO27*(1-Supuestos!$C$150)</f>
        <v>257696524.983792</v>
      </c>
      <c r="BP29" s="57" t="n">
        <f aca="false">BP27*(1-Supuestos!$C$150)</f>
        <v>257696524.983792</v>
      </c>
      <c r="BQ29" s="57" t="n">
        <f aca="false">BQ27*(1-Supuestos!$C$150)</f>
        <v>257696524.983792</v>
      </c>
      <c r="BR29" s="57" t="n">
        <f aca="false">BR27*(1-Supuestos!$C$150)</f>
        <v>257696524.983792</v>
      </c>
      <c r="BS29" s="57" t="n">
        <f aca="false">BS27*(1-Supuestos!$C$150)</f>
        <v>257696524.983792</v>
      </c>
      <c r="BT29" s="57" t="n">
        <f aca="false">BT27*(1-Supuestos!$C$150)</f>
        <v>257696524.983792</v>
      </c>
      <c r="BU29" s="57" t="n">
        <f aca="false">BU27*(1-Supuestos!$C$150)</f>
        <v>257696524.983792</v>
      </c>
      <c r="BV29" s="57" t="n">
        <f aca="false">BV27*(1-Supuestos!$C$150)</f>
        <v>257696524.983792</v>
      </c>
      <c r="BW29" s="57" t="n">
        <f aca="false">BW27*(1-Supuestos!$C$150)</f>
        <v>257696524.983792</v>
      </c>
      <c r="BX29" s="57" t="n">
        <f aca="false">BX27*(1-Supuestos!$C$150)</f>
        <v>257696524.983792</v>
      </c>
      <c r="BY29" s="57" t="n">
        <f aca="false">BY27*(1-Supuestos!$C$150)</f>
        <v>257696524.983792</v>
      </c>
      <c r="BZ29" s="57" t="n">
        <f aca="false">BZ27*(1-Supuestos!$C$150)</f>
        <v>257696524.983792</v>
      </c>
      <c r="CA29" s="57" t="n">
        <f aca="false">CA27*(1-Supuestos!$C$150)</f>
        <v>257696524.983792</v>
      </c>
      <c r="CB29" s="57" t="n">
        <f aca="false">CB27*(1-Supuestos!$C$150)</f>
        <v>257696524.983792</v>
      </c>
      <c r="CC29" s="57" t="n">
        <f aca="false">CC27*(1-Supuestos!$C$150)</f>
        <v>257696524.983792</v>
      </c>
      <c r="CD29" s="57" t="n">
        <f aca="false">CD27*(1-Supuestos!$C$150)</f>
        <v>257696524.983792</v>
      </c>
      <c r="CE29" s="57" t="n">
        <f aca="false">CE27*(1-Supuestos!$C$150)</f>
        <v>257696524.983792</v>
      </c>
      <c r="CF29" s="57" t="n">
        <f aca="false">CF27*(1-Supuestos!$C$150)</f>
        <v>257696524.983792</v>
      </c>
      <c r="CG29" s="57" t="n">
        <f aca="false">CG27*(1-Supuestos!$C$150)</f>
        <v>257696524.983792</v>
      </c>
      <c r="CH29" s="57" t="n">
        <f aca="false">CH27*(1-Supuestos!$C$150)</f>
        <v>257696524.983792</v>
      </c>
      <c r="CI29" s="57" t="n">
        <f aca="false">CI27*(1-Supuestos!$C$150)</f>
        <v>257696524.983792</v>
      </c>
      <c r="CJ29" s="57" t="n">
        <f aca="false">CJ27*(1-Supuestos!$C$150)</f>
        <v>257696524.983792</v>
      </c>
      <c r="CK29" s="57" t="n">
        <f aca="false">CK27*(1-Supuestos!$C$150)</f>
        <v>257696524.983792</v>
      </c>
      <c r="CL29" s="57" t="n">
        <f aca="false">CL27*(1-Supuestos!$C$150)</f>
        <v>257696524.983792</v>
      </c>
      <c r="CM29" s="57" t="n">
        <f aca="false">CM27*(1-Supuestos!$C$150)</f>
        <v>257696524.983792</v>
      </c>
      <c r="CN29" s="57" t="n">
        <f aca="false">CN27*(1-Supuestos!$C$150)</f>
        <v>257696524.983792</v>
      </c>
      <c r="CO29" s="57" t="n">
        <f aca="false">CO27*(1-Supuestos!$C$150)</f>
        <v>257696524.983792</v>
      </c>
      <c r="CP29" s="57" t="n">
        <f aca="false">CP27*(1-Supuestos!$C$150)</f>
        <v>257696524.983792</v>
      </c>
      <c r="CQ29" s="57" t="n">
        <f aca="false">CQ27*(1-Supuestos!$C$150)</f>
        <v>257696524.983792</v>
      </c>
      <c r="CR29" s="57" t="n">
        <f aca="false">CR27*(1-Supuestos!$C$150)</f>
        <v>257696524.983792</v>
      </c>
      <c r="CS29" s="57" t="n">
        <f aca="false">CS27*(1-Supuestos!$C$150)</f>
        <v>257696524.983792</v>
      </c>
      <c r="CT29" s="57" t="n">
        <f aca="false">CT27*(1-Supuestos!$C$150)</f>
        <v>257696524.983792</v>
      </c>
    </row>
    <row r="30" customFormat="false" ht="15" hidden="false" customHeight="false" outlineLevel="0" collapsed="false">
      <c r="A30" s="2"/>
      <c r="B30" s="19" t="s">
        <v>707</v>
      </c>
      <c r="C30" s="57" t="n">
        <f aca="false">C28-Supuestos!$C$147/12+C17*Supuestos!$C$150</f>
        <v>92918586.8453333</v>
      </c>
      <c r="D30" s="57" t="n">
        <f aca="false">D28-Supuestos!$C$147/12+D17*Supuestos!$C$150</f>
        <v>92918586.8453333</v>
      </c>
      <c r="E30" s="57" t="n">
        <f aca="false">E28-Supuestos!$C$147/12+E17*Supuestos!$C$150</f>
        <v>92918586.8453333</v>
      </c>
      <c r="F30" s="57" t="n">
        <f aca="false">F28-Supuestos!$C$147/12+F17*Supuestos!$C$150</f>
        <v>92918586.8453333</v>
      </c>
      <c r="G30" s="57" t="n">
        <f aca="false">G28-Supuestos!$C$147/12+G17*Supuestos!$C$150</f>
        <v>92918586.8453333</v>
      </c>
      <c r="H30" s="57" t="n">
        <f aca="false">H28-Supuestos!$C$147/12+H17*Supuestos!$C$150</f>
        <v>92918586.8453333</v>
      </c>
      <c r="I30" s="57" t="n">
        <f aca="false">I28-Supuestos!$C$147/12+I17*Supuestos!$C$150</f>
        <v>92918586.8453333</v>
      </c>
      <c r="J30" s="57" t="n">
        <f aca="false">J28-Supuestos!$C$147/12+J17*Supuestos!$C$150</f>
        <v>92918586.8453333</v>
      </c>
      <c r="K30" s="57" t="n">
        <f aca="false">K28-Supuestos!$C$147/12+K17*Supuestos!$C$150</f>
        <v>92918586.8453333</v>
      </c>
      <c r="L30" s="57" t="n">
        <f aca="false">L28-Supuestos!$C$147/12+L17*Supuestos!$C$150</f>
        <v>92918586.8453333</v>
      </c>
      <c r="M30" s="57" t="n">
        <f aca="false">M28-Supuestos!$C$147/12+M17*Supuestos!$C$150</f>
        <v>92918586.8453333</v>
      </c>
      <c r="N30" s="57" t="n">
        <f aca="false">N28-Supuestos!$C$147/12+N17*Supuestos!$C$150</f>
        <v>92918586.8453333</v>
      </c>
      <c r="O30" s="57" t="n">
        <f aca="false">O28-Supuestos!$C$147/12+O17*Supuestos!$C$150</f>
        <v>191722060.934677</v>
      </c>
      <c r="P30" s="57" t="n">
        <f aca="false">P28-Supuestos!$C$147/12+P17*Supuestos!$C$150</f>
        <v>191722060.934677</v>
      </c>
      <c r="Q30" s="57" t="n">
        <f aca="false">Q28-Supuestos!$C$147/12+Q17*Supuestos!$C$150</f>
        <v>191722060.934677</v>
      </c>
      <c r="R30" s="57" t="n">
        <f aca="false">R28-Supuestos!$C$147/12+R17*Supuestos!$C$150</f>
        <v>191722060.934677</v>
      </c>
      <c r="S30" s="57" t="n">
        <f aca="false">S28-Supuestos!$C$147/12+S17*Supuestos!$C$150</f>
        <v>191722060.934677</v>
      </c>
      <c r="T30" s="57" t="n">
        <f aca="false">T28-Supuestos!$C$147/12+T17*Supuestos!$C$150</f>
        <v>191722060.934677</v>
      </c>
      <c r="U30" s="57" t="n">
        <f aca="false">U28-Supuestos!$C$147/12+U17*Supuestos!$C$150</f>
        <v>191722060.934677</v>
      </c>
      <c r="V30" s="57" t="n">
        <f aca="false">V28-Supuestos!$C$147/12+V17*Supuestos!$C$150</f>
        <v>191722060.934677</v>
      </c>
      <c r="W30" s="57" t="n">
        <f aca="false">W28-Supuestos!$C$147/12+W17*Supuestos!$C$150</f>
        <v>191722060.934677</v>
      </c>
      <c r="X30" s="57" t="n">
        <f aca="false">X28-Supuestos!$C$147/12+X17*Supuestos!$C$150</f>
        <v>191722060.934677</v>
      </c>
      <c r="Y30" s="57" t="n">
        <f aca="false">Y28-Supuestos!$C$147/12+Y17*Supuestos!$C$150</f>
        <v>191722060.934677</v>
      </c>
      <c r="Z30" s="57" t="n">
        <f aca="false">Z28-Supuestos!$C$147/12+Z17*Supuestos!$C$150</f>
        <v>191722060.934677</v>
      </c>
      <c r="AA30" s="57" t="n">
        <f aca="false">AA28-Supuestos!$C$147/12+AA17*Supuestos!$C$150</f>
        <v>282036986.679349</v>
      </c>
      <c r="AB30" s="57" t="n">
        <f aca="false">AB28-Supuestos!$C$147/12+AB17*Supuestos!$C$150</f>
        <v>282036986.679349</v>
      </c>
      <c r="AC30" s="57" t="n">
        <f aca="false">AC28-Supuestos!$C$147/12+AC17*Supuestos!$C$150</f>
        <v>282036986.679349</v>
      </c>
      <c r="AD30" s="57" t="n">
        <f aca="false">AD28-Supuestos!$C$147/12+AD17*Supuestos!$C$150</f>
        <v>282036986.679349</v>
      </c>
      <c r="AE30" s="57" t="n">
        <f aca="false">AE28-Supuestos!$C$147/12+AE17*Supuestos!$C$150</f>
        <v>282036986.679349</v>
      </c>
      <c r="AF30" s="57" t="n">
        <f aca="false">AF28-Supuestos!$C$147/12+AF17*Supuestos!$C$150</f>
        <v>282036986.679349</v>
      </c>
      <c r="AG30" s="57" t="n">
        <f aca="false">AG28-Supuestos!$C$147/12+AG17*Supuestos!$C$150</f>
        <v>282036986.679349</v>
      </c>
      <c r="AH30" s="57" t="n">
        <f aca="false">AH28-Supuestos!$C$147/12+AH17*Supuestos!$C$150</f>
        <v>282036986.679349</v>
      </c>
      <c r="AI30" s="57" t="n">
        <f aca="false">AI28-Supuestos!$C$147/12+AI17*Supuestos!$C$150</f>
        <v>282036986.679349</v>
      </c>
      <c r="AJ30" s="57" t="n">
        <f aca="false">AJ28-Supuestos!$C$147/12+AJ17*Supuestos!$C$150</f>
        <v>282036986.679349</v>
      </c>
      <c r="AK30" s="57" t="n">
        <f aca="false">AK28-Supuestos!$C$147/12+AK17*Supuestos!$C$150</f>
        <v>282036986.679349</v>
      </c>
      <c r="AL30" s="57" t="n">
        <f aca="false">AL28-Supuestos!$C$147/12+AL17*Supuestos!$C$150</f>
        <v>282036986.679349</v>
      </c>
      <c r="AM30" s="57" t="n">
        <f aca="false">AM28-Supuestos!$C$147/12+AM17*Supuestos!$C$150</f>
        <v>310253533.095333</v>
      </c>
      <c r="AN30" s="57" t="n">
        <f aca="false">AN28-Supuestos!$C$147/12+AN17*Supuestos!$C$150</f>
        <v>310253533.095333</v>
      </c>
      <c r="AO30" s="57" t="n">
        <f aca="false">AO28-Supuestos!$C$147/12+AO17*Supuestos!$C$150</f>
        <v>310253533.095333</v>
      </c>
      <c r="AP30" s="57" t="n">
        <f aca="false">AP28-Supuestos!$C$147/12+AP17*Supuestos!$C$150</f>
        <v>310253533.095333</v>
      </c>
      <c r="AQ30" s="57" t="n">
        <f aca="false">AQ28-Supuestos!$C$147/12+AQ17*Supuestos!$C$150</f>
        <v>310253533.095333</v>
      </c>
      <c r="AR30" s="57" t="n">
        <f aca="false">AR28-Supuestos!$C$147/12+AR17*Supuestos!$C$150</f>
        <v>310253533.095333</v>
      </c>
      <c r="AS30" s="57" t="n">
        <f aca="false">AS28-Supuestos!$C$147/12+AS17*Supuestos!$C$150</f>
        <v>310253533.095333</v>
      </c>
      <c r="AT30" s="57" t="n">
        <f aca="false">AT28-Supuestos!$C$147/12+AT17*Supuestos!$C$150</f>
        <v>310253533.095333</v>
      </c>
      <c r="AU30" s="57" t="n">
        <f aca="false">AU28-Supuestos!$C$147/12+AU17*Supuestos!$C$150</f>
        <v>310253533.095333</v>
      </c>
      <c r="AV30" s="57" t="n">
        <f aca="false">AV28-Supuestos!$C$147/12+AV17*Supuestos!$C$150</f>
        <v>310253533.095333</v>
      </c>
      <c r="AW30" s="57" t="n">
        <f aca="false">AW28-Supuestos!$C$147/12+AW17*Supuestos!$C$150</f>
        <v>310253533.095333</v>
      </c>
      <c r="AX30" s="57" t="n">
        <f aca="false">AX28-Supuestos!$C$147/12+AX17*Supuestos!$C$150</f>
        <v>310253533.095333</v>
      </c>
      <c r="AY30" s="57" t="n">
        <f aca="false">AY28-Supuestos!$C$147/12+AY17*Supuestos!$C$150</f>
        <v>310253533.095333</v>
      </c>
      <c r="AZ30" s="57" t="n">
        <f aca="false">AZ28-Supuestos!$C$147/12+AZ17*Supuestos!$C$150</f>
        <v>310253533.095333</v>
      </c>
      <c r="BA30" s="57" t="n">
        <f aca="false">BA28-Supuestos!$C$147/12+BA17*Supuestos!$C$150</f>
        <v>310253533.095333</v>
      </c>
      <c r="BB30" s="57" t="n">
        <f aca="false">BB28-Supuestos!$C$147/12+BB17*Supuestos!$C$150</f>
        <v>310253533.095333</v>
      </c>
      <c r="BC30" s="57" t="n">
        <f aca="false">BC28-Supuestos!$C$147/12+BC17*Supuestos!$C$150</f>
        <v>310253533.095333</v>
      </c>
      <c r="BD30" s="57" t="n">
        <f aca="false">BD28-Supuestos!$C$147/12+BD17*Supuestos!$C$150</f>
        <v>310253533.095333</v>
      </c>
      <c r="BE30" s="57" t="n">
        <f aca="false">BE28-Supuestos!$C$147/12+BE17*Supuestos!$C$150</f>
        <v>310253533.095333</v>
      </c>
      <c r="BF30" s="57" t="n">
        <f aca="false">BF28-Supuestos!$C$147/12+BF17*Supuestos!$C$150</f>
        <v>310253533.095333</v>
      </c>
      <c r="BG30" s="57" t="n">
        <f aca="false">BG28-Supuestos!$C$147/12+BG17*Supuestos!$C$150</f>
        <v>310253533.095333</v>
      </c>
      <c r="BH30" s="57" t="n">
        <f aca="false">BH28-Supuestos!$C$147/12+BH17*Supuestos!$C$150</f>
        <v>310253533.095333</v>
      </c>
      <c r="BI30" s="57" t="n">
        <f aca="false">BI28-Supuestos!$C$147/12+BI17*Supuestos!$C$150</f>
        <v>310253533.095333</v>
      </c>
      <c r="BJ30" s="57" t="n">
        <f aca="false">BJ28-Supuestos!$C$147/12+BJ17*Supuestos!$C$150</f>
        <v>310253533.095333</v>
      </c>
      <c r="BK30" s="57" t="n">
        <f aca="false">BK28-Supuestos!$C$147/12+BK17*Supuestos!$C$150</f>
        <v>310253533.095333</v>
      </c>
      <c r="BL30" s="57" t="n">
        <f aca="false">BL28-Supuestos!$C$147/12+BL17*Supuestos!$C$150</f>
        <v>310253533.095333</v>
      </c>
      <c r="BM30" s="57" t="n">
        <f aca="false">BM28-Supuestos!$C$147/12+BM17*Supuestos!$C$150</f>
        <v>310253533.095333</v>
      </c>
      <c r="BN30" s="57" t="n">
        <f aca="false">BN28-Supuestos!$C$147/12+BN17*Supuestos!$C$150</f>
        <v>310253533.095333</v>
      </c>
      <c r="BO30" s="57" t="n">
        <f aca="false">BO28-Supuestos!$C$147/12+BO17*Supuestos!$C$150</f>
        <v>310253533.095333</v>
      </c>
      <c r="BP30" s="57" t="n">
        <f aca="false">BP28-Supuestos!$C$147/12+BP17*Supuestos!$C$150</f>
        <v>310253533.095333</v>
      </c>
      <c r="BQ30" s="57" t="n">
        <f aca="false">BQ28-Supuestos!$C$147/12+BQ17*Supuestos!$C$150</f>
        <v>310253533.095333</v>
      </c>
      <c r="BR30" s="57" t="n">
        <f aca="false">BR28-Supuestos!$C$147/12+BR17*Supuestos!$C$150</f>
        <v>310253533.095333</v>
      </c>
      <c r="BS30" s="57" t="n">
        <f aca="false">BS28-Supuestos!$C$147/12+BS17*Supuestos!$C$150</f>
        <v>310253533.095333</v>
      </c>
      <c r="BT30" s="57" t="n">
        <f aca="false">BT28-Supuestos!$C$147/12+BT17*Supuestos!$C$150</f>
        <v>310253533.095333</v>
      </c>
      <c r="BU30" s="57" t="n">
        <f aca="false">BU28-Supuestos!$C$147/12+BU17*Supuestos!$C$150</f>
        <v>310253533.095333</v>
      </c>
      <c r="BV30" s="57" t="n">
        <f aca="false">BV28-Supuestos!$C$147/12+BV17*Supuestos!$C$150</f>
        <v>310253533.095333</v>
      </c>
      <c r="BW30" s="57" t="n">
        <f aca="false">BW28-Supuestos!$C$147/12+BW17*Supuestos!$C$150</f>
        <v>310253533.095333</v>
      </c>
      <c r="BX30" s="57" t="n">
        <f aca="false">BX28-Supuestos!$C$147/12+BX17*Supuestos!$C$150</f>
        <v>310253533.095333</v>
      </c>
      <c r="BY30" s="57" t="n">
        <f aca="false">BY28-Supuestos!$C$147/12+BY17*Supuestos!$C$150</f>
        <v>310253533.095333</v>
      </c>
      <c r="BZ30" s="57" t="n">
        <f aca="false">BZ28-Supuestos!$C$147/12+BZ17*Supuestos!$C$150</f>
        <v>310253533.095333</v>
      </c>
      <c r="CA30" s="57" t="n">
        <f aca="false">CA28-Supuestos!$C$147/12+CA17*Supuestos!$C$150</f>
        <v>310253533.095333</v>
      </c>
      <c r="CB30" s="57" t="n">
        <f aca="false">CB28-Supuestos!$C$147/12+CB17*Supuestos!$C$150</f>
        <v>310253533.095333</v>
      </c>
      <c r="CC30" s="57" t="n">
        <f aca="false">CC28-Supuestos!$C$147/12+CC17*Supuestos!$C$150</f>
        <v>310253533.095333</v>
      </c>
      <c r="CD30" s="57" t="n">
        <f aca="false">CD28-Supuestos!$C$147/12+CD17*Supuestos!$C$150</f>
        <v>310253533.095333</v>
      </c>
      <c r="CE30" s="57" t="n">
        <f aca="false">CE28-Supuestos!$C$147/12+CE17*Supuestos!$C$150</f>
        <v>310253533.095333</v>
      </c>
      <c r="CF30" s="57" t="n">
        <f aca="false">CF28-Supuestos!$C$147/12+CF17*Supuestos!$C$150</f>
        <v>310253533.095333</v>
      </c>
      <c r="CG30" s="57" t="n">
        <f aca="false">CG28-Supuestos!$C$147/12+CG17*Supuestos!$C$150</f>
        <v>310253533.095333</v>
      </c>
      <c r="CH30" s="57" t="n">
        <f aca="false">CH28-Supuestos!$C$147/12+CH17*Supuestos!$C$150</f>
        <v>310253533.095333</v>
      </c>
      <c r="CI30" s="57" t="n">
        <f aca="false">CI28-Supuestos!$C$147/12+CI17*Supuestos!$C$150</f>
        <v>310253533.095333</v>
      </c>
      <c r="CJ30" s="57" t="n">
        <f aca="false">CJ28-Supuestos!$C$147/12+CJ17*Supuestos!$C$150</f>
        <v>310253533.095333</v>
      </c>
      <c r="CK30" s="57" t="n">
        <f aca="false">CK28-Supuestos!$C$147/12+CK17*Supuestos!$C$150</f>
        <v>310253533.095333</v>
      </c>
      <c r="CL30" s="57" t="n">
        <f aca="false">CL28-Supuestos!$C$147/12+CL17*Supuestos!$C$150</f>
        <v>310253533.095333</v>
      </c>
      <c r="CM30" s="57" t="n">
        <f aca="false">CM28-Supuestos!$C$147/12+CM17*Supuestos!$C$150</f>
        <v>310253533.095333</v>
      </c>
      <c r="CN30" s="57" t="n">
        <f aca="false">CN28-Supuestos!$C$147/12+CN17*Supuestos!$C$150</f>
        <v>310253533.095333</v>
      </c>
      <c r="CO30" s="57" t="n">
        <f aca="false">CO28-Supuestos!$C$147/12+CO17*Supuestos!$C$150</f>
        <v>310253533.095333</v>
      </c>
      <c r="CP30" s="57" t="n">
        <f aca="false">CP28-Supuestos!$C$147/12+CP17*Supuestos!$C$150</f>
        <v>310253533.095333</v>
      </c>
      <c r="CQ30" s="57" t="n">
        <f aca="false">CQ28-Supuestos!$C$147/12+CQ17*Supuestos!$C$150</f>
        <v>310253533.095333</v>
      </c>
      <c r="CR30" s="57" t="n">
        <f aca="false">CR28-Supuestos!$C$147/12+CR17*Supuestos!$C$150</f>
        <v>310253533.095333</v>
      </c>
      <c r="CS30" s="57" t="n">
        <f aca="false">CS28-Supuestos!$C$147/12+CS17*Supuestos!$C$150</f>
        <v>310253533.095333</v>
      </c>
      <c r="CT30" s="57" t="n">
        <f aca="false">CT28-Supuestos!$C$147/12+CT17*Supuestos!$C$150</f>
        <v>310253533.095333</v>
      </c>
    </row>
    <row r="31" customFormat="false" ht="15" hidden="false" customHeight="false" outlineLevel="0" collapsed="false">
      <c r="A31" s="2"/>
      <c r="B31" s="19" t="s">
        <v>708</v>
      </c>
      <c r="C31" s="57" t="n">
        <f aca="false">C29-Supuestos!$C$148/12+C17*(1-Supuestos!$C$150)</f>
        <v>43458708.8213334</v>
      </c>
      <c r="D31" s="57" t="n">
        <f aca="false">D29-Supuestos!$C$148/12+D17*(1-Supuestos!$C$150)</f>
        <v>43458708.8213334</v>
      </c>
      <c r="E31" s="57" t="n">
        <f aca="false">E29-Supuestos!$C$148/12+E17*(1-Supuestos!$C$150)</f>
        <v>43458708.8213334</v>
      </c>
      <c r="F31" s="57" t="n">
        <f aca="false">F29-Supuestos!$C$148/12+F17*(1-Supuestos!$C$150)</f>
        <v>43458708.8213334</v>
      </c>
      <c r="G31" s="57" t="n">
        <f aca="false">G29-Supuestos!$C$148/12+G17*(1-Supuestos!$C$150)</f>
        <v>43458708.8213334</v>
      </c>
      <c r="H31" s="57" t="n">
        <f aca="false">H29-Supuestos!$C$148/12+H17*(1-Supuestos!$C$150)</f>
        <v>43458708.8213334</v>
      </c>
      <c r="I31" s="57" t="n">
        <f aca="false">I29-Supuestos!$C$148/12+I17*(1-Supuestos!$C$150)</f>
        <v>43458708.8213334</v>
      </c>
      <c r="J31" s="57" t="n">
        <f aca="false">J29-Supuestos!$C$148/12+J17*(1-Supuestos!$C$150)</f>
        <v>43458708.8213334</v>
      </c>
      <c r="K31" s="57" t="n">
        <f aca="false">K29-Supuestos!$C$148/12+K17*(1-Supuestos!$C$150)</f>
        <v>43458708.8213334</v>
      </c>
      <c r="L31" s="57" t="n">
        <f aca="false">L29-Supuestos!$C$148/12+L17*(1-Supuestos!$C$150)</f>
        <v>43458708.8213334</v>
      </c>
      <c r="M31" s="57" t="n">
        <f aca="false">M29-Supuestos!$C$148/12+M17*(1-Supuestos!$C$150)</f>
        <v>43458708.8213334</v>
      </c>
      <c r="N31" s="57" t="n">
        <f aca="false">N29-Supuestos!$C$148/12+N17*(1-Supuestos!$C$150)</f>
        <v>43458708.8213334</v>
      </c>
      <c r="O31" s="57" t="n">
        <f aca="false">O29-Supuestos!$C$148/12+O17*(1-Supuestos!$C$150)</f>
        <v>109327691.547563</v>
      </c>
      <c r="P31" s="57" t="n">
        <f aca="false">P29-Supuestos!$C$148/12+P17*(1-Supuestos!$C$150)</f>
        <v>109327691.547563</v>
      </c>
      <c r="Q31" s="57" t="n">
        <f aca="false">Q29-Supuestos!$C$148/12+Q17*(1-Supuestos!$C$150)</f>
        <v>109327691.547563</v>
      </c>
      <c r="R31" s="57" t="n">
        <f aca="false">R29-Supuestos!$C$148/12+R17*(1-Supuestos!$C$150)</f>
        <v>109327691.547563</v>
      </c>
      <c r="S31" s="57" t="n">
        <f aca="false">S29-Supuestos!$C$148/12+S17*(1-Supuestos!$C$150)</f>
        <v>109327691.547563</v>
      </c>
      <c r="T31" s="57" t="n">
        <f aca="false">T29-Supuestos!$C$148/12+T17*(1-Supuestos!$C$150)</f>
        <v>109327691.547563</v>
      </c>
      <c r="U31" s="57" t="n">
        <f aca="false">U29-Supuestos!$C$148/12+U17*(1-Supuestos!$C$150)</f>
        <v>109327691.547563</v>
      </c>
      <c r="V31" s="57" t="n">
        <f aca="false">V29-Supuestos!$C$148/12+V17*(1-Supuestos!$C$150)</f>
        <v>109327691.547563</v>
      </c>
      <c r="W31" s="57" t="n">
        <f aca="false">W29-Supuestos!$C$148/12+W17*(1-Supuestos!$C$150)</f>
        <v>109327691.547563</v>
      </c>
      <c r="X31" s="57" t="n">
        <f aca="false">X29-Supuestos!$C$148/12+X17*(1-Supuestos!$C$150)</f>
        <v>109327691.547563</v>
      </c>
      <c r="Y31" s="57" t="n">
        <f aca="false">Y29-Supuestos!$C$148/12+Y17*(1-Supuestos!$C$150)</f>
        <v>109327691.547563</v>
      </c>
      <c r="Z31" s="57" t="n">
        <f aca="false">Z29-Supuestos!$C$148/12+Z17*(1-Supuestos!$C$150)</f>
        <v>109327691.547563</v>
      </c>
      <c r="AA31" s="57" t="n">
        <f aca="false">AA29-Supuestos!$C$148/12+AA17*(1-Supuestos!$C$150)</f>
        <v>169537642.04401</v>
      </c>
      <c r="AB31" s="57" t="n">
        <f aca="false">AB29-Supuestos!$C$148/12+AB17*(1-Supuestos!$C$150)</f>
        <v>169537642.04401</v>
      </c>
      <c r="AC31" s="57" t="n">
        <f aca="false">AC29-Supuestos!$C$148/12+AC17*(1-Supuestos!$C$150)</f>
        <v>169537642.04401</v>
      </c>
      <c r="AD31" s="57" t="n">
        <f aca="false">AD29-Supuestos!$C$148/12+AD17*(1-Supuestos!$C$150)</f>
        <v>169537642.04401</v>
      </c>
      <c r="AE31" s="57" t="n">
        <f aca="false">AE29-Supuestos!$C$148/12+AE17*(1-Supuestos!$C$150)</f>
        <v>169537642.04401</v>
      </c>
      <c r="AF31" s="57" t="n">
        <f aca="false">AF29-Supuestos!$C$148/12+AF17*(1-Supuestos!$C$150)</f>
        <v>169537642.04401</v>
      </c>
      <c r="AG31" s="57" t="n">
        <f aca="false">AG29-Supuestos!$C$148/12+AG17*(1-Supuestos!$C$150)</f>
        <v>169537642.04401</v>
      </c>
      <c r="AH31" s="57" t="n">
        <f aca="false">AH29-Supuestos!$C$148/12+AH17*(1-Supuestos!$C$150)</f>
        <v>169537642.04401</v>
      </c>
      <c r="AI31" s="57" t="n">
        <f aca="false">AI29-Supuestos!$C$148/12+AI17*(1-Supuestos!$C$150)</f>
        <v>169537642.04401</v>
      </c>
      <c r="AJ31" s="57" t="n">
        <f aca="false">AJ29-Supuestos!$C$148/12+AJ17*(1-Supuestos!$C$150)</f>
        <v>169537642.04401</v>
      </c>
      <c r="AK31" s="57" t="n">
        <f aca="false">AK29-Supuestos!$C$148/12+AK17*(1-Supuestos!$C$150)</f>
        <v>169537642.04401</v>
      </c>
      <c r="AL31" s="57" t="n">
        <f aca="false">AL29-Supuestos!$C$148/12+AL17*(1-Supuestos!$C$150)</f>
        <v>169537642.04401</v>
      </c>
      <c r="AM31" s="57" t="n">
        <f aca="false">AM29-Supuestos!$C$148/12+AM17*(1-Supuestos!$C$150)</f>
        <v>188348672.988</v>
      </c>
      <c r="AN31" s="57" t="n">
        <f aca="false">AN29-Supuestos!$C$148/12+AN17*(1-Supuestos!$C$150)</f>
        <v>188348672.988</v>
      </c>
      <c r="AO31" s="57" t="n">
        <f aca="false">AO29-Supuestos!$C$148/12+AO17*(1-Supuestos!$C$150)</f>
        <v>188348672.988</v>
      </c>
      <c r="AP31" s="57" t="n">
        <f aca="false">AP29-Supuestos!$C$148/12+AP17*(1-Supuestos!$C$150)</f>
        <v>188348672.988</v>
      </c>
      <c r="AQ31" s="57" t="n">
        <f aca="false">AQ29-Supuestos!$C$148/12+AQ17*(1-Supuestos!$C$150)</f>
        <v>188348672.988</v>
      </c>
      <c r="AR31" s="57" t="n">
        <f aca="false">AR29-Supuestos!$C$148/12+AR17*(1-Supuestos!$C$150)</f>
        <v>188348672.988</v>
      </c>
      <c r="AS31" s="57" t="n">
        <f aca="false">AS29-Supuestos!$C$148/12+AS17*(1-Supuestos!$C$150)</f>
        <v>188348672.988</v>
      </c>
      <c r="AT31" s="57" t="n">
        <f aca="false">AT29-Supuestos!$C$148/12+AT17*(1-Supuestos!$C$150)</f>
        <v>188348672.988</v>
      </c>
      <c r="AU31" s="57" t="n">
        <f aca="false">AU29-Supuestos!$C$148/12+AU17*(1-Supuestos!$C$150)</f>
        <v>188348672.988</v>
      </c>
      <c r="AV31" s="57" t="n">
        <f aca="false">AV29-Supuestos!$C$148/12+AV17*(1-Supuestos!$C$150)</f>
        <v>188348672.988</v>
      </c>
      <c r="AW31" s="57" t="n">
        <f aca="false">AW29-Supuestos!$C$148/12+AW17*(1-Supuestos!$C$150)</f>
        <v>188348672.988</v>
      </c>
      <c r="AX31" s="57" t="n">
        <f aca="false">AX29-Supuestos!$C$148/12+AX17*(1-Supuestos!$C$150)</f>
        <v>188348672.988</v>
      </c>
      <c r="AY31" s="57" t="n">
        <f aca="false">AY29-Supuestos!$C$148/12+AY17*(1-Supuestos!$C$150)</f>
        <v>188348672.988</v>
      </c>
      <c r="AZ31" s="57" t="n">
        <f aca="false">AZ29-Supuestos!$C$148/12+AZ17*(1-Supuestos!$C$150)</f>
        <v>188348672.988</v>
      </c>
      <c r="BA31" s="57" t="n">
        <f aca="false">BA29-Supuestos!$C$148/12+BA17*(1-Supuestos!$C$150)</f>
        <v>188348672.988</v>
      </c>
      <c r="BB31" s="57" t="n">
        <f aca="false">BB29-Supuestos!$C$148/12+BB17*(1-Supuestos!$C$150)</f>
        <v>188348672.988</v>
      </c>
      <c r="BC31" s="57" t="n">
        <f aca="false">BC29-Supuestos!$C$148/12+BC17*(1-Supuestos!$C$150)</f>
        <v>188348672.988</v>
      </c>
      <c r="BD31" s="57" t="n">
        <f aca="false">BD29-Supuestos!$C$148/12+BD17*(1-Supuestos!$C$150)</f>
        <v>188348672.988</v>
      </c>
      <c r="BE31" s="57" t="n">
        <f aca="false">BE29-Supuestos!$C$148/12+BE17*(1-Supuestos!$C$150)</f>
        <v>188348672.988</v>
      </c>
      <c r="BF31" s="57" t="n">
        <f aca="false">BF29-Supuestos!$C$148/12+BF17*(1-Supuestos!$C$150)</f>
        <v>188348672.988</v>
      </c>
      <c r="BG31" s="57" t="n">
        <f aca="false">BG29-Supuestos!$C$148/12+BG17*(1-Supuestos!$C$150)</f>
        <v>188348672.988</v>
      </c>
      <c r="BH31" s="57" t="n">
        <f aca="false">BH29-Supuestos!$C$148/12+BH17*(1-Supuestos!$C$150)</f>
        <v>188348672.988</v>
      </c>
      <c r="BI31" s="57" t="n">
        <f aca="false">BI29-Supuestos!$C$148/12+BI17*(1-Supuestos!$C$150)</f>
        <v>188348672.988</v>
      </c>
      <c r="BJ31" s="57" t="n">
        <f aca="false">BJ29-Supuestos!$C$148/12+BJ17*(1-Supuestos!$C$150)</f>
        <v>188348672.988</v>
      </c>
      <c r="BK31" s="57" t="n">
        <f aca="false">BK29-Supuestos!$C$148/12+BK17*(1-Supuestos!$C$150)</f>
        <v>188348672.988</v>
      </c>
      <c r="BL31" s="57" t="n">
        <f aca="false">BL29-Supuestos!$C$148/12+BL17*(1-Supuestos!$C$150)</f>
        <v>188348672.988</v>
      </c>
      <c r="BM31" s="57" t="n">
        <f aca="false">BM29-Supuestos!$C$148/12+BM17*(1-Supuestos!$C$150)</f>
        <v>188348672.988</v>
      </c>
      <c r="BN31" s="57" t="n">
        <f aca="false">BN29-Supuestos!$C$148/12+BN17*(1-Supuestos!$C$150)</f>
        <v>188348672.988</v>
      </c>
      <c r="BO31" s="57" t="n">
        <f aca="false">BO29-Supuestos!$C$148/12+BO17*(1-Supuestos!$C$150)</f>
        <v>188348672.988</v>
      </c>
      <c r="BP31" s="57" t="n">
        <f aca="false">BP29-Supuestos!$C$148/12+BP17*(1-Supuestos!$C$150)</f>
        <v>188348672.988</v>
      </c>
      <c r="BQ31" s="57" t="n">
        <f aca="false">BQ29-Supuestos!$C$148/12+BQ17*(1-Supuestos!$C$150)</f>
        <v>188348672.988</v>
      </c>
      <c r="BR31" s="57" t="n">
        <f aca="false">BR29-Supuestos!$C$148/12+BR17*(1-Supuestos!$C$150)</f>
        <v>188348672.988</v>
      </c>
      <c r="BS31" s="57" t="n">
        <f aca="false">BS29-Supuestos!$C$148/12+BS17*(1-Supuestos!$C$150)</f>
        <v>188348672.988</v>
      </c>
      <c r="BT31" s="57" t="n">
        <f aca="false">BT29-Supuestos!$C$148/12+BT17*(1-Supuestos!$C$150)</f>
        <v>188348672.988</v>
      </c>
      <c r="BU31" s="57" t="n">
        <f aca="false">BU29-Supuestos!$C$148/12+BU17*(1-Supuestos!$C$150)</f>
        <v>188348672.988</v>
      </c>
      <c r="BV31" s="57" t="n">
        <f aca="false">BV29-Supuestos!$C$148/12+BV17*(1-Supuestos!$C$150)</f>
        <v>188348672.988</v>
      </c>
      <c r="BW31" s="57" t="n">
        <f aca="false">BW29-Supuestos!$C$148/12+BW17*(1-Supuestos!$C$150)</f>
        <v>188348672.988</v>
      </c>
      <c r="BX31" s="57" t="n">
        <f aca="false">BX29-Supuestos!$C$148/12+BX17*(1-Supuestos!$C$150)</f>
        <v>188348672.988</v>
      </c>
      <c r="BY31" s="57" t="n">
        <f aca="false">BY29-Supuestos!$C$148/12+BY17*(1-Supuestos!$C$150)</f>
        <v>188348672.988</v>
      </c>
      <c r="BZ31" s="57" t="n">
        <f aca="false">BZ29-Supuestos!$C$148/12+BZ17*(1-Supuestos!$C$150)</f>
        <v>188348672.988</v>
      </c>
      <c r="CA31" s="57" t="n">
        <f aca="false">CA29-Supuestos!$C$148/12+CA17*(1-Supuestos!$C$150)</f>
        <v>188348672.988</v>
      </c>
      <c r="CB31" s="57" t="n">
        <f aca="false">CB29-Supuestos!$C$148/12+CB17*(1-Supuestos!$C$150)</f>
        <v>188348672.988</v>
      </c>
      <c r="CC31" s="57" t="n">
        <f aca="false">CC29-Supuestos!$C$148/12+CC17*(1-Supuestos!$C$150)</f>
        <v>188348672.988</v>
      </c>
      <c r="CD31" s="57" t="n">
        <f aca="false">CD29-Supuestos!$C$148/12+CD17*(1-Supuestos!$C$150)</f>
        <v>188348672.988</v>
      </c>
      <c r="CE31" s="57" t="n">
        <f aca="false">CE29-Supuestos!$C$148/12+CE17*(1-Supuestos!$C$150)</f>
        <v>188348672.988</v>
      </c>
      <c r="CF31" s="57" t="n">
        <f aca="false">CF29-Supuestos!$C$148/12+CF17*(1-Supuestos!$C$150)</f>
        <v>188348672.988</v>
      </c>
      <c r="CG31" s="57" t="n">
        <f aca="false">CG29-Supuestos!$C$148/12+CG17*(1-Supuestos!$C$150)</f>
        <v>188348672.988</v>
      </c>
      <c r="CH31" s="57" t="n">
        <f aca="false">CH29-Supuestos!$C$148/12+CH17*(1-Supuestos!$C$150)</f>
        <v>188348672.988</v>
      </c>
      <c r="CI31" s="57" t="n">
        <f aca="false">CI29-Supuestos!$C$148/12+CI17*(1-Supuestos!$C$150)</f>
        <v>188348672.988</v>
      </c>
      <c r="CJ31" s="57" t="n">
        <f aca="false">CJ29-Supuestos!$C$148/12+CJ17*(1-Supuestos!$C$150)</f>
        <v>188348672.988</v>
      </c>
      <c r="CK31" s="57" t="n">
        <f aca="false">CK29-Supuestos!$C$148/12+CK17*(1-Supuestos!$C$150)</f>
        <v>188348672.988</v>
      </c>
      <c r="CL31" s="57" t="n">
        <f aca="false">CL29-Supuestos!$C$148/12+CL17*(1-Supuestos!$C$150)</f>
        <v>188348672.988</v>
      </c>
      <c r="CM31" s="57" t="n">
        <f aca="false">CM29-Supuestos!$C$148/12+CM17*(1-Supuestos!$C$150)</f>
        <v>188348672.988</v>
      </c>
      <c r="CN31" s="57" t="n">
        <f aca="false">CN29-Supuestos!$C$148/12+CN17*(1-Supuestos!$C$150)</f>
        <v>188348672.988</v>
      </c>
      <c r="CO31" s="57" t="n">
        <f aca="false">CO29-Supuestos!$C$148/12+CO17*(1-Supuestos!$C$150)</f>
        <v>188348672.988</v>
      </c>
      <c r="CP31" s="57" t="n">
        <f aca="false">CP29-Supuestos!$C$148/12+CP17*(1-Supuestos!$C$150)</f>
        <v>188348672.988</v>
      </c>
      <c r="CQ31" s="57" t="n">
        <f aca="false">CQ29-Supuestos!$C$148/12+CQ17*(1-Supuestos!$C$150)</f>
        <v>188348672.988</v>
      </c>
      <c r="CR31" s="57" t="n">
        <f aca="false">CR29-Supuestos!$C$148/12+CR17*(1-Supuestos!$C$150)</f>
        <v>188348672.988</v>
      </c>
      <c r="CS31" s="57" t="n">
        <f aca="false">CS29-Supuestos!$C$148/12+CS17*(1-Supuestos!$C$150)</f>
        <v>188348672.988</v>
      </c>
      <c r="CT31" s="57" t="n">
        <f aca="false">CT29-Supuestos!$C$148/12+CT17*(1-Supuestos!$C$150)</f>
        <v>188348672.988</v>
      </c>
    </row>
    <row r="32" customFormat="false" ht="15" hidden="false" customHeight="false" outlineLevel="0" collapsed="false">
      <c r="A32" s="2"/>
      <c r="B32" s="19" t="s">
        <v>709</v>
      </c>
      <c r="C32" s="57" t="n">
        <f aca="false">C28*IF(C8&lt;=Supuestos!$C$152,1,Supuestos!$C$151)</f>
        <v>115600010.241672</v>
      </c>
      <c r="D32" s="57" t="n">
        <f aca="false">D28*IF(D8&lt;=Supuestos!$C$152,1,Supuestos!$C$151)</f>
        <v>115600010.241672</v>
      </c>
      <c r="E32" s="57" t="n">
        <f aca="false">E28*IF(E8&lt;=Supuestos!$C$152,1,Supuestos!$C$151)</f>
        <v>115600010.241672</v>
      </c>
      <c r="F32" s="57" t="n">
        <f aca="false">F28*IF(F8&lt;=Supuestos!$C$152,1,Supuestos!$C$151)</f>
        <v>115600010.241672</v>
      </c>
      <c r="G32" s="57" t="n">
        <f aca="false">G28*IF(G8&lt;=Supuestos!$C$152,1,Supuestos!$C$151)</f>
        <v>115600010.241672</v>
      </c>
      <c r="H32" s="57" t="n">
        <f aca="false">H28*IF(H8&lt;=Supuestos!$C$152,1,Supuestos!$C$151)</f>
        <v>115600010.241672</v>
      </c>
      <c r="I32" s="57" t="n">
        <f aca="false">I28*IF(I8&lt;=Supuestos!$C$152,1,Supuestos!$C$151)</f>
        <v>115600010.241672</v>
      </c>
      <c r="J32" s="57" t="n">
        <f aca="false">J28*IF(J8&lt;=Supuestos!$C$152,1,Supuestos!$C$151)</f>
        <v>115600010.241672</v>
      </c>
      <c r="K32" s="57" t="n">
        <f aca="false">K28*IF(K8&lt;=Supuestos!$C$152,1,Supuestos!$C$151)</f>
        <v>115600010.241672</v>
      </c>
      <c r="L32" s="57" t="n">
        <f aca="false">L28*IF(L8&lt;=Supuestos!$C$152,1,Supuestos!$C$151)</f>
        <v>115600010.241672</v>
      </c>
      <c r="M32" s="57" t="n">
        <f aca="false">M28*IF(M8&lt;=Supuestos!$C$152,1,Supuestos!$C$151)</f>
        <v>115600010.241672</v>
      </c>
      <c r="N32" s="57" t="n">
        <f aca="false">N28*IF(N8&lt;=Supuestos!$C$152,1,Supuestos!$C$151)</f>
        <v>115600010.241672</v>
      </c>
      <c r="O32" s="57" t="n">
        <f aca="false">O28*IF(O8&lt;=Supuestos!$C$152,1,Supuestos!$C$151)</f>
        <v>205914935.986344</v>
      </c>
      <c r="P32" s="57" t="n">
        <f aca="false">P28*IF(P8&lt;=Supuestos!$C$152,1,Supuestos!$C$151)</f>
        <v>205914935.986344</v>
      </c>
      <c r="Q32" s="57" t="n">
        <f aca="false">Q28*IF(Q8&lt;=Supuestos!$C$152,1,Supuestos!$C$151)</f>
        <v>205914935.986344</v>
      </c>
      <c r="R32" s="57" t="n">
        <f aca="false">R28*IF(R8&lt;=Supuestos!$C$152,1,Supuestos!$C$151)</f>
        <v>205914935.986344</v>
      </c>
      <c r="S32" s="57" t="n">
        <f aca="false">S28*IF(S8&lt;=Supuestos!$C$152,1,Supuestos!$C$151)</f>
        <v>205914935.986344</v>
      </c>
      <c r="T32" s="57" t="n">
        <f aca="false">T28*IF(T8&lt;=Supuestos!$C$152,1,Supuestos!$C$151)</f>
        <v>205914935.986344</v>
      </c>
      <c r="U32" s="57" t="n">
        <f aca="false">U28*IF(U8&lt;=Supuestos!$C$152,1,Supuestos!$C$151)</f>
        <v>205914935.986344</v>
      </c>
      <c r="V32" s="57" t="n">
        <f aca="false">V28*IF(V8&lt;=Supuestos!$C$152,1,Supuestos!$C$151)</f>
        <v>205914935.986344</v>
      </c>
      <c r="W32" s="57" t="n">
        <f aca="false">W28*IF(W8&lt;=Supuestos!$C$152,1,Supuestos!$C$151)</f>
        <v>205914935.986344</v>
      </c>
      <c r="X32" s="57" t="n">
        <f aca="false">X28*IF(X8&lt;=Supuestos!$C$152,1,Supuestos!$C$151)</f>
        <v>205914935.986344</v>
      </c>
      <c r="Y32" s="57" t="n">
        <f aca="false">Y28*IF(Y8&lt;=Supuestos!$C$152,1,Supuestos!$C$151)</f>
        <v>205914935.986344</v>
      </c>
      <c r="Z32" s="57" t="n">
        <f aca="false">Z28*IF(Z8&lt;=Supuestos!$C$152,1,Supuestos!$C$151)</f>
        <v>205914935.986344</v>
      </c>
      <c r="AA32" s="57" t="n">
        <f aca="false">AA28*IF(AA8&lt;=Supuestos!$C$152,1,Supuestos!$C$151)</f>
        <v>177737917.038609</v>
      </c>
      <c r="AB32" s="57" t="n">
        <f aca="false">AB28*IF(AB8&lt;=Supuestos!$C$152,1,Supuestos!$C$151)</f>
        <v>177737917.038609</v>
      </c>
      <c r="AC32" s="57" t="n">
        <f aca="false">AC28*IF(AC8&lt;=Supuestos!$C$152,1,Supuestos!$C$151)</f>
        <v>177737917.038609</v>
      </c>
      <c r="AD32" s="57" t="n">
        <f aca="false">AD28*IF(AD8&lt;=Supuestos!$C$152,1,Supuestos!$C$151)</f>
        <v>177737917.038609</v>
      </c>
      <c r="AE32" s="57" t="n">
        <f aca="false">AE28*IF(AE8&lt;=Supuestos!$C$152,1,Supuestos!$C$151)</f>
        <v>177737917.038609</v>
      </c>
      <c r="AF32" s="57" t="n">
        <f aca="false">AF28*IF(AF8&lt;=Supuestos!$C$152,1,Supuestos!$C$151)</f>
        <v>177737917.038609</v>
      </c>
      <c r="AG32" s="57" t="n">
        <f aca="false">AG28*IF(AG8&lt;=Supuestos!$C$152,1,Supuestos!$C$151)</f>
        <v>177737917.038609</v>
      </c>
      <c r="AH32" s="57" t="n">
        <f aca="false">AH28*IF(AH8&lt;=Supuestos!$C$152,1,Supuestos!$C$151)</f>
        <v>177737917.038609</v>
      </c>
      <c r="AI32" s="57" t="n">
        <f aca="false">AI28*IF(AI8&lt;=Supuestos!$C$152,1,Supuestos!$C$151)</f>
        <v>177737917.038609</v>
      </c>
      <c r="AJ32" s="57" t="n">
        <f aca="false">AJ28*IF(AJ8&lt;=Supuestos!$C$152,1,Supuestos!$C$151)</f>
        <v>177737917.038609</v>
      </c>
      <c r="AK32" s="57" t="n">
        <f aca="false">AK28*IF(AK8&lt;=Supuestos!$C$152,1,Supuestos!$C$151)</f>
        <v>177737917.038609</v>
      </c>
      <c r="AL32" s="57" t="n">
        <f aca="false">AL28*IF(AL8&lt;=Supuestos!$C$152,1,Supuestos!$C$151)</f>
        <v>177737917.038609</v>
      </c>
      <c r="AM32" s="57" t="n">
        <f aca="false">AM28*IF(AM8&lt;=Supuestos!$C$152,1,Supuestos!$C$151)</f>
        <v>231926872.485413</v>
      </c>
      <c r="AN32" s="57" t="n">
        <f aca="false">AN28*IF(AN8&lt;=Supuestos!$C$152,1,Supuestos!$C$151)</f>
        <v>231926872.485413</v>
      </c>
      <c r="AO32" s="57" t="n">
        <f aca="false">AO28*IF(AO8&lt;=Supuestos!$C$152,1,Supuestos!$C$151)</f>
        <v>231926872.485413</v>
      </c>
      <c r="AP32" s="57" t="n">
        <f aca="false">AP28*IF(AP8&lt;=Supuestos!$C$152,1,Supuestos!$C$151)</f>
        <v>231926872.485413</v>
      </c>
      <c r="AQ32" s="57" t="n">
        <f aca="false">AQ28*IF(AQ8&lt;=Supuestos!$C$152,1,Supuestos!$C$151)</f>
        <v>231926872.485413</v>
      </c>
      <c r="AR32" s="57" t="n">
        <f aca="false">AR28*IF(AR8&lt;=Supuestos!$C$152,1,Supuestos!$C$151)</f>
        <v>231926872.485413</v>
      </c>
      <c r="AS32" s="57" t="n">
        <f aca="false">AS28*IF(AS8&lt;=Supuestos!$C$152,1,Supuestos!$C$151)</f>
        <v>231926872.485413</v>
      </c>
      <c r="AT32" s="57" t="n">
        <f aca="false">AT28*IF(AT8&lt;=Supuestos!$C$152,1,Supuestos!$C$151)</f>
        <v>231926872.485413</v>
      </c>
      <c r="AU32" s="57" t="n">
        <f aca="false">AU28*IF(AU8&lt;=Supuestos!$C$152,1,Supuestos!$C$151)</f>
        <v>231926872.485413</v>
      </c>
      <c r="AV32" s="57" t="n">
        <f aca="false">AV28*IF(AV8&lt;=Supuestos!$C$152,1,Supuestos!$C$151)</f>
        <v>231926872.485413</v>
      </c>
      <c r="AW32" s="57" t="n">
        <f aca="false">AW28*IF(AW8&lt;=Supuestos!$C$152,1,Supuestos!$C$151)</f>
        <v>231926872.485413</v>
      </c>
      <c r="AX32" s="57" t="n">
        <f aca="false">AX28*IF(AX8&lt;=Supuestos!$C$152,1,Supuestos!$C$151)</f>
        <v>231926872.485413</v>
      </c>
      <c r="AY32" s="57" t="n">
        <f aca="false">AY28*IF(AY8&lt;=Supuestos!$C$152,1,Supuestos!$C$151)</f>
        <v>231926872.485413</v>
      </c>
      <c r="AZ32" s="57" t="n">
        <f aca="false">AZ28*IF(AZ8&lt;=Supuestos!$C$152,1,Supuestos!$C$151)</f>
        <v>231926872.485413</v>
      </c>
      <c r="BA32" s="57" t="n">
        <f aca="false">BA28*IF(BA8&lt;=Supuestos!$C$152,1,Supuestos!$C$151)</f>
        <v>231926872.485413</v>
      </c>
      <c r="BB32" s="57" t="n">
        <f aca="false">BB28*IF(BB8&lt;=Supuestos!$C$152,1,Supuestos!$C$151)</f>
        <v>231926872.485413</v>
      </c>
      <c r="BC32" s="57" t="n">
        <f aca="false">BC28*IF(BC8&lt;=Supuestos!$C$152,1,Supuestos!$C$151)</f>
        <v>231926872.485413</v>
      </c>
      <c r="BD32" s="57" t="n">
        <f aca="false">BD28*IF(BD8&lt;=Supuestos!$C$152,1,Supuestos!$C$151)</f>
        <v>231926872.485413</v>
      </c>
      <c r="BE32" s="57" t="n">
        <f aca="false">BE28*IF(BE8&lt;=Supuestos!$C$152,1,Supuestos!$C$151)</f>
        <v>231926872.485413</v>
      </c>
      <c r="BF32" s="57" t="n">
        <f aca="false">BF28*IF(BF8&lt;=Supuestos!$C$152,1,Supuestos!$C$151)</f>
        <v>231926872.485413</v>
      </c>
      <c r="BG32" s="57" t="n">
        <f aca="false">BG28*IF(BG8&lt;=Supuestos!$C$152,1,Supuestos!$C$151)</f>
        <v>231926872.485413</v>
      </c>
      <c r="BH32" s="57" t="n">
        <f aca="false">BH28*IF(BH8&lt;=Supuestos!$C$152,1,Supuestos!$C$151)</f>
        <v>231926872.485413</v>
      </c>
      <c r="BI32" s="57" t="n">
        <f aca="false">BI28*IF(BI8&lt;=Supuestos!$C$152,1,Supuestos!$C$151)</f>
        <v>231926872.485413</v>
      </c>
      <c r="BJ32" s="57" t="n">
        <f aca="false">BJ28*IF(BJ8&lt;=Supuestos!$C$152,1,Supuestos!$C$151)</f>
        <v>231926872.485413</v>
      </c>
      <c r="BK32" s="57" t="n">
        <f aca="false">BK28*IF(BK8&lt;=Supuestos!$C$152,1,Supuestos!$C$151)</f>
        <v>231926872.485413</v>
      </c>
      <c r="BL32" s="57" t="n">
        <f aca="false">BL28*IF(BL8&lt;=Supuestos!$C$152,1,Supuestos!$C$151)</f>
        <v>231926872.485413</v>
      </c>
      <c r="BM32" s="57" t="n">
        <f aca="false">BM28*IF(BM8&lt;=Supuestos!$C$152,1,Supuestos!$C$151)</f>
        <v>231926872.485413</v>
      </c>
      <c r="BN32" s="57" t="n">
        <f aca="false">BN28*IF(BN8&lt;=Supuestos!$C$152,1,Supuestos!$C$151)</f>
        <v>231926872.485413</v>
      </c>
      <c r="BO32" s="57" t="n">
        <f aca="false">BO28*IF(BO8&lt;=Supuestos!$C$152,1,Supuestos!$C$151)</f>
        <v>231926872.485413</v>
      </c>
      <c r="BP32" s="57" t="n">
        <f aca="false">BP28*IF(BP8&lt;=Supuestos!$C$152,1,Supuestos!$C$151)</f>
        <v>231926872.485413</v>
      </c>
      <c r="BQ32" s="57" t="n">
        <f aca="false">BQ28*IF(BQ8&lt;=Supuestos!$C$152,1,Supuestos!$C$151)</f>
        <v>231926872.485413</v>
      </c>
      <c r="BR32" s="57" t="n">
        <f aca="false">BR28*IF(BR8&lt;=Supuestos!$C$152,1,Supuestos!$C$151)</f>
        <v>231926872.485413</v>
      </c>
      <c r="BS32" s="57" t="n">
        <f aca="false">BS28*IF(BS8&lt;=Supuestos!$C$152,1,Supuestos!$C$151)</f>
        <v>231926872.485413</v>
      </c>
      <c r="BT32" s="57" t="n">
        <f aca="false">BT28*IF(BT8&lt;=Supuestos!$C$152,1,Supuestos!$C$151)</f>
        <v>231926872.485413</v>
      </c>
      <c r="BU32" s="57" t="n">
        <f aca="false">BU28*IF(BU8&lt;=Supuestos!$C$152,1,Supuestos!$C$151)</f>
        <v>231926872.485413</v>
      </c>
      <c r="BV32" s="57" t="n">
        <f aca="false">BV28*IF(BV8&lt;=Supuestos!$C$152,1,Supuestos!$C$151)</f>
        <v>231926872.485413</v>
      </c>
      <c r="BW32" s="57" t="n">
        <f aca="false">BW28*IF(BW8&lt;=Supuestos!$C$152,1,Supuestos!$C$151)</f>
        <v>231926872.485413</v>
      </c>
      <c r="BX32" s="57" t="n">
        <f aca="false">BX28*IF(BX8&lt;=Supuestos!$C$152,1,Supuestos!$C$151)</f>
        <v>231926872.485413</v>
      </c>
      <c r="BY32" s="57" t="n">
        <f aca="false">BY28*IF(BY8&lt;=Supuestos!$C$152,1,Supuestos!$C$151)</f>
        <v>231926872.485413</v>
      </c>
      <c r="BZ32" s="57" t="n">
        <f aca="false">BZ28*IF(BZ8&lt;=Supuestos!$C$152,1,Supuestos!$C$151)</f>
        <v>231926872.485413</v>
      </c>
      <c r="CA32" s="57" t="n">
        <f aca="false">CA28*IF(CA8&lt;=Supuestos!$C$152,1,Supuestos!$C$151)</f>
        <v>231926872.485413</v>
      </c>
      <c r="CB32" s="57" t="n">
        <f aca="false">CB28*IF(CB8&lt;=Supuestos!$C$152,1,Supuestos!$C$151)</f>
        <v>231926872.485413</v>
      </c>
      <c r="CC32" s="57" t="n">
        <f aca="false">CC28*IF(CC8&lt;=Supuestos!$C$152,1,Supuestos!$C$151)</f>
        <v>231926872.485413</v>
      </c>
      <c r="CD32" s="57" t="n">
        <f aca="false">CD28*IF(CD8&lt;=Supuestos!$C$152,1,Supuestos!$C$151)</f>
        <v>231926872.485413</v>
      </c>
      <c r="CE32" s="57" t="n">
        <f aca="false">CE28*IF(CE8&lt;=Supuestos!$C$152,1,Supuestos!$C$151)</f>
        <v>231926872.485413</v>
      </c>
      <c r="CF32" s="57" t="n">
        <f aca="false">CF28*IF(CF8&lt;=Supuestos!$C$152,1,Supuestos!$C$151)</f>
        <v>231926872.485413</v>
      </c>
      <c r="CG32" s="57" t="n">
        <f aca="false">CG28*IF(CG8&lt;=Supuestos!$C$152,1,Supuestos!$C$151)</f>
        <v>231926872.485413</v>
      </c>
      <c r="CH32" s="57" t="n">
        <f aca="false">CH28*IF(CH8&lt;=Supuestos!$C$152,1,Supuestos!$C$151)</f>
        <v>231926872.485413</v>
      </c>
      <c r="CI32" s="57" t="n">
        <f aca="false">CI28*IF(CI8&lt;=Supuestos!$C$152,1,Supuestos!$C$151)</f>
        <v>231926872.485413</v>
      </c>
      <c r="CJ32" s="57" t="n">
        <f aca="false">CJ28*IF(CJ8&lt;=Supuestos!$C$152,1,Supuestos!$C$151)</f>
        <v>231926872.485413</v>
      </c>
      <c r="CK32" s="57" t="n">
        <f aca="false">CK28*IF(CK8&lt;=Supuestos!$C$152,1,Supuestos!$C$151)</f>
        <v>231926872.485413</v>
      </c>
      <c r="CL32" s="57" t="n">
        <f aca="false">CL28*IF(CL8&lt;=Supuestos!$C$152,1,Supuestos!$C$151)</f>
        <v>231926872.485413</v>
      </c>
      <c r="CM32" s="57" t="n">
        <f aca="false">CM28*IF(CM8&lt;=Supuestos!$C$152,1,Supuestos!$C$151)</f>
        <v>231926872.485413</v>
      </c>
      <c r="CN32" s="57" t="n">
        <f aca="false">CN28*IF(CN8&lt;=Supuestos!$C$152,1,Supuestos!$C$151)</f>
        <v>231926872.485413</v>
      </c>
      <c r="CO32" s="57" t="n">
        <f aca="false">CO28*IF(CO8&lt;=Supuestos!$C$152,1,Supuestos!$C$151)</f>
        <v>231926872.485413</v>
      </c>
      <c r="CP32" s="57" t="n">
        <f aca="false">CP28*IF(CP8&lt;=Supuestos!$C$152,1,Supuestos!$C$151)</f>
        <v>231926872.485413</v>
      </c>
      <c r="CQ32" s="57" t="n">
        <f aca="false">CQ28*IF(CQ8&lt;=Supuestos!$C$152,1,Supuestos!$C$151)</f>
        <v>231926872.485413</v>
      </c>
      <c r="CR32" s="57" t="n">
        <f aca="false">CR28*IF(CR8&lt;=Supuestos!$C$152,1,Supuestos!$C$151)</f>
        <v>231926872.485413</v>
      </c>
      <c r="CS32" s="57" t="n">
        <f aca="false">CS28*IF(CS8&lt;=Supuestos!$C$152,1,Supuestos!$C$151)</f>
        <v>231926872.485413</v>
      </c>
      <c r="CT32" s="57" t="n">
        <f aca="false">CT28*IF(CT8&lt;=Supuestos!$C$152,1,Supuestos!$C$151)</f>
        <v>231926872.485413</v>
      </c>
    </row>
    <row r="33" customFormat="false" ht="15" hidden="false" customHeight="false" outlineLevel="0" collapsed="false">
      <c r="A33" s="2"/>
      <c r="B33" s="19" t="s">
        <v>710</v>
      </c>
      <c r="C33" s="57" t="n">
        <f aca="false">C28-C32</f>
        <v>0</v>
      </c>
      <c r="D33" s="57" t="n">
        <f aca="false">D28-D32</f>
        <v>0</v>
      </c>
      <c r="E33" s="57" t="n">
        <f aca="false">E28-E32</f>
        <v>0</v>
      </c>
      <c r="F33" s="57" t="n">
        <f aca="false">F28-F32</f>
        <v>0</v>
      </c>
      <c r="G33" s="57" t="n">
        <f aca="false">G28-G32</f>
        <v>0</v>
      </c>
      <c r="H33" s="57" t="n">
        <f aca="false">H28-H32</f>
        <v>0</v>
      </c>
      <c r="I33" s="57" t="n">
        <f aca="false">I28-I32</f>
        <v>0</v>
      </c>
      <c r="J33" s="57" t="n">
        <f aca="false">J28-J32</f>
        <v>0</v>
      </c>
      <c r="K33" s="57" t="n">
        <f aca="false">K28-K32</f>
        <v>0</v>
      </c>
      <c r="L33" s="57" t="n">
        <f aca="false">L28-L32</f>
        <v>0</v>
      </c>
      <c r="M33" s="57" t="n">
        <f aca="false">M28-M32</f>
        <v>0</v>
      </c>
      <c r="N33" s="57" t="n">
        <f aca="false">N28-N32</f>
        <v>0</v>
      </c>
      <c r="O33" s="57" t="n">
        <f aca="false">O28-O32</f>
        <v>0</v>
      </c>
      <c r="P33" s="57" t="n">
        <f aca="false">P28-P32</f>
        <v>0</v>
      </c>
      <c r="Q33" s="57" t="n">
        <f aca="false">Q28-Q32</f>
        <v>0</v>
      </c>
      <c r="R33" s="57" t="n">
        <f aca="false">R28-R32</f>
        <v>0</v>
      </c>
      <c r="S33" s="57" t="n">
        <f aca="false">S28-S32</f>
        <v>0</v>
      </c>
      <c r="T33" s="57" t="n">
        <f aca="false">T28-T32</f>
        <v>0</v>
      </c>
      <c r="U33" s="57" t="n">
        <f aca="false">U28-U32</f>
        <v>0</v>
      </c>
      <c r="V33" s="57" t="n">
        <f aca="false">V28-V32</f>
        <v>0</v>
      </c>
      <c r="W33" s="57" t="n">
        <f aca="false">W28-W32</f>
        <v>0</v>
      </c>
      <c r="X33" s="57" t="n">
        <f aca="false">X28-X32</f>
        <v>0</v>
      </c>
      <c r="Y33" s="57" t="n">
        <f aca="false">Y28-Y32</f>
        <v>0</v>
      </c>
      <c r="Z33" s="57" t="n">
        <f aca="false">Z28-Z32</f>
        <v>0</v>
      </c>
      <c r="AA33" s="57" t="n">
        <f aca="false">AA28-AA32</f>
        <v>118491944.692406</v>
      </c>
      <c r="AB33" s="57" t="n">
        <f aca="false">AB28-AB32</f>
        <v>118491944.692406</v>
      </c>
      <c r="AC33" s="57" t="n">
        <f aca="false">AC28-AC32</f>
        <v>118491944.692406</v>
      </c>
      <c r="AD33" s="57" t="n">
        <f aca="false">AD28-AD32</f>
        <v>118491944.692406</v>
      </c>
      <c r="AE33" s="57" t="n">
        <f aca="false">AE28-AE32</f>
        <v>118491944.692406</v>
      </c>
      <c r="AF33" s="57" t="n">
        <f aca="false">AF28-AF32</f>
        <v>118491944.692406</v>
      </c>
      <c r="AG33" s="57" t="n">
        <f aca="false">AG28-AG32</f>
        <v>118491944.692406</v>
      </c>
      <c r="AH33" s="57" t="n">
        <f aca="false">AH28-AH32</f>
        <v>118491944.692406</v>
      </c>
      <c r="AI33" s="57" t="n">
        <f aca="false">AI28-AI32</f>
        <v>118491944.692406</v>
      </c>
      <c r="AJ33" s="57" t="n">
        <f aca="false">AJ28-AJ32</f>
        <v>118491944.692406</v>
      </c>
      <c r="AK33" s="57" t="n">
        <f aca="false">AK28-AK32</f>
        <v>118491944.692406</v>
      </c>
      <c r="AL33" s="57" t="n">
        <f aca="false">AL28-AL32</f>
        <v>118491944.692406</v>
      </c>
      <c r="AM33" s="57" t="n">
        <f aca="false">AM28-AM32</f>
        <v>154617914.990275</v>
      </c>
      <c r="AN33" s="57" t="n">
        <f aca="false">AN28-AN32</f>
        <v>154617914.990275</v>
      </c>
      <c r="AO33" s="57" t="n">
        <f aca="false">AO28-AO32</f>
        <v>154617914.990275</v>
      </c>
      <c r="AP33" s="57" t="n">
        <f aca="false">AP28-AP32</f>
        <v>154617914.990275</v>
      </c>
      <c r="AQ33" s="57" t="n">
        <f aca="false">AQ28-AQ32</f>
        <v>154617914.990275</v>
      </c>
      <c r="AR33" s="57" t="n">
        <f aca="false">AR28-AR32</f>
        <v>154617914.990275</v>
      </c>
      <c r="AS33" s="57" t="n">
        <f aca="false">AS28-AS32</f>
        <v>154617914.990275</v>
      </c>
      <c r="AT33" s="57" t="n">
        <f aca="false">AT28-AT32</f>
        <v>154617914.990275</v>
      </c>
      <c r="AU33" s="57" t="n">
        <f aca="false">AU28-AU32</f>
        <v>154617914.990275</v>
      </c>
      <c r="AV33" s="57" t="n">
        <f aca="false">AV28-AV32</f>
        <v>154617914.990275</v>
      </c>
      <c r="AW33" s="57" t="n">
        <f aca="false">AW28-AW32</f>
        <v>154617914.990275</v>
      </c>
      <c r="AX33" s="57" t="n">
        <f aca="false">AX28-AX32</f>
        <v>154617914.990275</v>
      </c>
      <c r="AY33" s="57" t="n">
        <f aca="false">AY28-AY32</f>
        <v>154617914.990275</v>
      </c>
      <c r="AZ33" s="57" t="n">
        <f aca="false">AZ28-AZ32</f>
        <v>154617914.990275</v>
      </c>
      <c r="BA33" s="57" t="n">
        <f aca="false">BA28-BA32</f>
        <v>154617914.990275</v>
      </c>
      <c r="BB33" s="57" t="n">
        <f aca="false">BB28-BB32</f>
        <v>154617914.990275</v>
      </c>
      <c r="BC33" s="57" t="n">
        <f aca="false">BC28-BC32</f>
        <v>154617914.990275</v>
      </c>
      <c r="BD33" s="57" t="n">
        <f aca="false">BD28-BD32</f>
        <v>154617914.990275</v>
      </c>
      <c r="BE33" s="57" t="n">
        <f aca="false">BE28-BE32</f>
        <v>154617914.990275</v>
      </c>
      <c r="BF33" s="57" t="n">
        <f aca="false">BF28-BF32</f>
        <v>154617914.990275</v>
      </c>
      <c r="BG33" s="57" t="n">
        <f aca="false">BG28-BG32</f>
        <v>154617914.990275</v>
      </c>
      <c r="BH33" s="57" t="n">
        <f aca="false">BH28-BH32</f>
        <v>154617914.990275</v>
      </c>
      <c r="BI33" s="57" t="n">
        <f aca="false">BI28-BI32</f>
        <v>154617914.990275</v>
      </c>
      <c r="BJ33" s="57" t="n">
        <f aca="false">BJ28-BJ32</f>
        <v>154617914.990275</v>
      </c>
      <c r="BK33" s="57" t="n">
        <f aca="false">BK28-BK32</f>
        <v>154617914.990275</v>
      </c>
      <c r="BL33" s="57" t="n">
        <f aca="false">BL28-BL32</f>
        <v>154617914.990275</v>
      </c>
      <c r="BM33" s="57" t="n">
        <f aca="false">BM28-BM32</f>
        <v>154617914.990275</v>
      </c>
      <c r="BN33" s="57" t="n">
        <f aca="false">BN28-BN32</f>
        <v>154617914.990275</v>
      </c>
      <c r="BO33" s="57" t="n">
        <f aca="false">BO28-BO32</f>
        <v>154617914.990275</v>
      </c>
      <c r="BP33" s="57" t="n">
        <f aca="false">BP28-BP32</f>
        <v>154617914.990275</v>
      </c>
      <c r="BQ33" s="57" t="n">
        <f aca="false">BQ28-BQ32</f>
        <v>154617914.990275</v>
      </c>
      <c r="BR33" s="57" t="n">
        <f aca="false">BR28-BR32</f>
        <v>154617914.990275</v>
      </c>
      <c r="BS33" s="57" t="n">
        <f aca="false">BS28-BS32</f>
        <v>154617914.990275</v>
      </c>
      <c r="BT33" s="57" t="n">
        <f aca="false">BT28-BT32</f>
        <v>154617914.990275</v>
      </c>
      <c r="BU33" s="57" t="n">
        <f aca="false">BU28-BU32</f>
        <v>154617914.990275</v>
      </c>
      <c r="BV33" s="57" t="n">
        <f aca="false">BV28-BV32</f>
        <v>154617914.990275</v>
      </c>
      <c r="BW33" s="57" t="n">
        <f aca="false">BW28-BW32</f>
        <v>154617914.990275</v>
      </c>
      <c r="BX33" s="57" t="n">
        <f aca="false">BX28-BX32</f>
        <v>154617914.990275</v>
      </c>
      <c r="BY33" s="57" t="n">
        <f aca="false">BY28-BY32</f>
        <v>154617914.990275</v>
      </c>
      <c r="BZ33" s="57" t="n">
        <f aca="false">BZ28-BZ32</f>
        <v>154617914.990275</v>
      </c>
      <c r="CA33" s="57" t="n">
        <f aca="false">CA28-CA32</f>
        <v>154617914.990275</v>
      </c>
      <c r="CB33" s="57" t="n">
        <f aca="false">CB28-CB32</f>
        <v>154617914.990275</v>
      </c>
      <c r="CC33" s="57" t="n">
        <f aca="false">CC28-CC32</f>
        <v>154617914.990275</v>
      </c>
      <c r="CD33" s="57" t="n">
        <f aca="false">CD28-CD32</f>
        <v>154617914.990275</v>
      </c>
      <c r="CE33" s="57" t="n">
        <f aca="false">CE28-CE32</f>
        <v>154617914.990275</v>
      </c>
      <c r="CF33" s="57" t="n">
        <f aca="false">CF28-CF32</f>
        <v>154617914.990275</v>
      </c>
      <c r="CG33" s="57" t="n">
        <f aca="false">CG28-CG32</f>
        <v>154617914.990275</v>
      </c>
      <c r="CH33" s="57" t="n">
        <f aca="false">CH28-CH32</f>
        <v>154617914.990275</v>
      </c>
      <c r="CI33" s="57" t="n">
        <f aca="false">CI28-CI32</f>
        <v>154617914.990275</v>
      </c>
      <c r="CJ33" s="57" t="n">
        <f aca="false">CJ28-CJ32</f>
        <v>154617914.990275</v>
      </c>
      <c r="CK33" s="57" t="n">
        <f aca="false">CK28-CK32</f>
        <v>154617914.990275</v>
      </c>
      <c r="CL33" s="57" t="n">
        <f aca="false">CL28-CL32</f>
        <v>154617914.990275</v>
      </c>
      <c r="CM33" s="57" t="n">
        <f aca="false">CM28-CM32</f>
        <v>154617914.990275</v>
      </c>
      <c r="CN33" s="57" t="n">
        <f aca="false">CN28-CN32</f>
        <v>154617914.990275</v>
      </c>
      <c r="CO33" s="57" t="n">
        <f aca="false">CO28-CO32</f>
        <v>154617914.990275</v>
      </c>
      <c r="CP33" s="57" t="n">
        <f aca="false">CP28-CP32</f>
        <v>154617914.990275</v>
      </c>
      <c r="CQ33" s="57" t="n">
        <f aca="false">CQ28-CQ32</f>
        <v>154617914.990275</v>
      </c>
      <c r="CR33" s="57" t="n">
        <f aca="false">CR28-CR32</f>
        <v>154617914.990275</v>
      </c>
      <c r="CS33" s="57" t="n">
        <f aca="false">CS28-CS32</f>
        <v>154617914.990275</v>
      </c>
      <c r="CT33" s="57" t="n">
        <f aca="false">CT28-CT32</f>
        <v>154617914.990275</v>
      </c>
    </row>
    <row r="34" customFormat="false" ht="15" hidden="false" customHeight="false" outlineLevel="0" collapsed="false">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row>
    <row r="35" customFormat="false" ht="15" hidden="false" customHeight="false" outlineLevel="0" collapsed="false">
      <c r="A35" s="2"/>
      <c r="B35" s="56" t="s">
        <v>711</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row>
    <row r="36" customFormat="false" ht="15" hidden="false" customHeight="false" outlineLevel="0" collapsed="false">
      <c r="A36" s="2"/>
      <c r="B36" s="19" t="s">
        <v>712</v>
      </c>
      <c r="C36" s="78" t="n">
        <f aca="false">IF(1=Supuestos!$C$154,INT(ROUND(C32*12/Supuestos!$C$153,0)/2),IF(1=Supuestos!$C$155,ROUND(C32*12/Supuestos!$C$153,0)-INT(ROUND(C32*12/Supuestos!$C$153,0)/2),0))</f>
        <v>0</v>
      </c>
      <c r="D36" s="78" t="n">
        <f aca="false">IF(2=Supuestos!$C$154,INT(ROUND(D32*12/Supuestos!$C$153,0)/2),IF(2=Supuestos!$C$155,ROUND(D32*12/Supuestos!$C$153,0)-INT(ROUND(D32*12/Supuestos!$C$153,0)/2),0))</f>
        <v>0</v>
      </c>
      <c r="E36" s="78" t="n">
        <f aca="false">IF(3=Supuestos!$C$154,INT(ROUND(E32*12/Supuestos!$C$153,0)/2),IF(3=Supuestos!$C$155,ROUND(E32*12/Supuestos!$C$153,0)-INT(ROUND(E32*12/Supuestos!$C$153,0)/2),0))</f>
        <v>231</v>
      </c>
      <c r="F36" s="78" t="n">
        <f aca="false">IF(4=Supuestos!$C$154,INT(ROUND(F32*12/Supuestos!$C$153,0)/2),IF(4=Supuestos!$C$155,ROUND(F32*12/Supuestos!$C$153,0)-INT(ROUND(F32*12/Supuestos!$C$153,0)/2),0))</f>
        <v>0</v>
      </c>
      <c r="G36" s="78" t="n">
        <f aca="false">IF(5=Supuestos!$C$154,INT(ROUND(G32*12/Supuestos!$C$153,0)/2),IF(5=Supuestos!$C$155,ROUND(G32*12/Supuestos!$C$153,0)-INT(ROUND(G32*12/Supuestos!$C$153,0)/2),0))</f>
        <v>0</v>
      </c>
      <c r="H36" s="78" t="n">
        <f aca="false">IF(6=Supuestos!$C$154,INT(ROUND(H32*12/Supuestos!$C$153,0)/2),IF(6=Supuestos!$C$155,ROUND(H32*12/Supuestos!$C$153,0)-INT(ROUND(H32*12/Supuestos!$C$153,0)/2),0))</f>
        <v>0</v>
      </c>
      <c r="I36" s="78" t="n">
        <f aca="false">IF(7=Supuestos!$C$154,INT(ROUND(I32*12/Supuestos!$C$153,0)/2),IF(7=Supuestos!$C$155,ROUND(I32*12/Supuestos!$C$153,0)-INT(ROUND(I32*12/Supuestos!$C$153,0)/2),0))</f>
        <v>0</v>
      </c>
      <c r="J36" s="78" t="n">
        <f aca="false">IF(8=Supuestos!$C$154,INT(ROUND(J32*12/Supuestos!$C$153,0)/2),IF(8=Supuestos!$C$155,ROUND(J32*12/Supuestos!$C$153,0)-INT(ROUND(J32*12/Supuestos!$C$153,0)/2),0))</f>
        <v>0</v>
      </c>
      <c r="K36" s="78" t="n">
        <f aca="false">IF(9=Supuestos!$C$154,INT(ROUND(K32*12/Supuestos!$C$153,0)/2),IF(9=Supuestos!$C$155,ROUND(K32*12/Supuestos!$C$153,0)-INT(ROUND(K32*12/Supuestos!$C$153,0)/2),0))</f>
        <v>231</v>
      </c>
      <c r="L36" s="78" t="n">
        <f aca="false">IF(10=Supuestos!$C$154,INT(ROUND(L32*12/Supuestos!$C$153,0)/2),IF(10=Supuestos!$C$155,ROUND(L32*12/Supuestos!$C$153,0)-INT(ROUND(L32*12/Supuestos!$C$153,0)/2),0))</f>
        <v>0</v>
      </c>
      <c r="M36" s="78" t="n">
        <f aca="false">IF(11=Supuestos!$C$154,INT(ROUND(M32*12/Supuestos!$C$153,0)/2),IF(11=Supuestos!$C$155,ROUND(M32*12/Supuestos!$C$153,0)-INT(ROUND(M32*12/Supuestos!$C$153,0)/2),0))</f>
        <v>0</v>
      </c>
      <c r="N36" s="78" t="n">
        <f aca="false">IF(12=Supuestos!$C$154,INT(ROUND(N32*12/Supuestos!$C$153,0)/2),IF(12=Supuestos!$C$155,ROUND(N32*12/Supuestos!$C$153,0)-INT(ROUND(N32*12/Supuestos!$C$153,0)/2),0))</f>
        <v>0</v>
      </c>
      <c r="O36" s="78" t="n">
        <f aca="false">IF(1=Supuestos!$C$154,INT(ROUND(O32*12/Supuestos!$C$153,0)/2),IF(1=Supuestos!$C$155,ROUND(O32*12/Supuestos!$C$153,0)-INT(ROUND(O32*12/Supuestos!$C$153,0)/2),0))</f>
        <v>0</v>
      </c>
      <c r="P36" s="78" t="n">
        <f aca="false">IF(2=Supuestos!$C$154,INT(ROUND(P32*12/Supuestos!$C$153,0)/2),IF(2=Supuestos!$C$155,ROUND(P32*12/Supuestos!$C$153,0)-INT(ROUND(P32*12/Supuestos!$C$153,0)/2),0))</f>
        <v>0</v>
      </c>
      <c r="Q36" s="78" t="n">
        <f aca="false">IF(3=Supuestos!$C$154,INT(ROUND(Q32*12/Supuestos!$C$153,0)/2),IF(3=Supuestos!$C$155,ROUND(Q32*12/Supuestos!$C$153,0)-INT(ROUND(Q32*12/Supuestos!$C$153,0)/2),0))</f>
        <v>412</v>
      </c>
      <c r="R36" s="78" t="n">
        <f aca="false">IF(4=Supuestos!$C$154,INT(ROUND(R32*12/Supuestos!$C$153,0)/2),IF(4=Supuestos!$C$155,ROUND(R32*12/Supuestos!$C$153,0)-INT(ROUND(R32*12/Supuestos!$C$153,0)/2),0))</f>
        <v>0</v>
      </c>
      <c r="S36" s="78" t="n">
        <f aca="false">IF(5=Supuestos!$C$154,INT(ROUND(S32*12/Supuestos!$C$153,0)/2),IF(5=Supuestos!$C$155,ROUND(S32*12/Supuestos!$C$153,0)-INT(ROUND(S32*12/Supuestos!$C$153,0)/2),0))</f>
        <v>0</v>
      </c>
      <c r="T36" s="78" t="n">
        <f aca="false">IF(6=Supuestos!$C$154,INT(ROUND(T32*12/Supuestos!$C$153,0)/2),IF(6=Supuestos!$C$155,ROUND(T32*12/Supuestos!$C$153,0)-INT(ROUND(T32*12/Supuestos!$C$153,0)/2),0))</f>
        <v>0</v>
      </c>
      <c r="U36" s="78" t="n">
        <f aca="false">IF(7=Supuestos!$C$154,INT(ROUND(U32*12/Supuestos!$C$153,0)/2),IF(7=Supuestos!$C$155,ROUND(U32*12/Supuestos!$C$153,0)-INT(ROUND(U32*12/Supuestos!$C$153,0)/2),0))</f>
        <v>0</v>
      </c>
      <c r="V36" s="78" t="n">
        <f aca="false">IF(8=Supuestos!$C$154,INT(ROUND(V32*12/Supuestos!$C$153,0)/2),IF(8=Supuestos!$C$155,ROUND(V32*12/Supuestos!$C$153,0)-INT(ROUND(V32*12/Supuestos!$C$153,0)/2),0))</f>
        <v>0</v>
      </c>
      <c r="W36" s="78" t="n">
        <f aca="false">IF(9=Supuestos!$C$154,INT(ROUND(W32*12/Supuestos!$C$153,0)/2),IF(9=Supuestos!$C$155,ROUND(W32*12/Supuestos!$C$153,0)-INT(ROUND(W32*12/Supuestos!$C$153,0)/2),0))</f>
        <v>412</v>
      </c>
      <c r="X36" s="78" t="n">
        <f aca="false">IF(10=Supuestos!$C$154,INT(ROUND(X32*12/Supuestos!$C$153,0)/2),IF(10=Supuestos!$C$155,ROUND(X32*12/Supuestos!$C$153,0)-INT(ROUND(X32*12/Supuestos!$C$153,0)/2),0))</f>
        <v>0</v>
      </c>
      <c r="Y36" s="78" t="n">
        <f aca="false">IF(11=Supuestos!$C$154,INT(ROUND(Y32*12/Supuestos!$C$153,0)/2),IF(11=Supuestos!$C$155,ROUND(Y32*12/Supuestos!$C$153,0)-INT(ROUND(Y32*12/Supuestos!$C$153,0)/2),0))</f>
        <v>0</v>
      </c>
      <c r="Z36" s="78" t="n">
        <f aca="false">IF(12=Supuestos!$C$154,INT(ROUND(Z32*12/Supuestos!$C$153,0)/2),IF(12=Supuestos!$C$155,ROUND(Z32*12/Supuestos!$C$153,0)-INT(ROUND(Z32*12/Supuestos!$C$153,0)/2),0))</f>
        <v>0</v>
      </c>
      <c r="AA36" s="78" t="n">
        <f aca="false">IF(1=Supuestos!$C$154,INT(ROUND(AA32*12/Supuestos!$C$153,0)/2),IF(1=Supuestos!$C$155,ROUND(AA32*12/Supuestos!$C$153,0)-INT(ROUND(AA32*12/Supuestos!$C$153,0)/2),0))</f>
        <v>0</v>
      </c>
      <c r="AB36" s="78" t="n">
        <f aca="false">IF(2=Supuestos!$C$154,INT(ROUND(AB32*12/Supuestos!$C$153,0)/2),IF(2=Supuestos!$C$155,ROUND(AB32*12/Supuestos!$C$153,0)-INT(ROUND(AB32*12/Supuestos!$C$153,0)/2),0))</f>
        <v>0</v>
      </c>
      <c r="AC36" s="78" t="n">
        <f aca="false">IF(3=Supuestos!$C$154,INT(ROUND(AC32*12/Supuestos!$C$153,0)/2),IF(3=Supuestos!$C$155,ROUND(AC32*12/Supuestos!$C$153,0)-INT(ROUND(AC32*12/Supuestos!$C$153,0)/2),0))</f>
        <v>355</v>
      </c>
      <c r="AD36" s="78" t="n">
        <f aca="false">IF(4=Supuestos!$C$154,INT(ROUND(AD32*12/Supuestos!$C$153,0)/2),IF(4=Supuestos!$C$155,ROUND(AD32*12/Supuestos!$C$153,0)-INT(ROUND(AD32*12/Supuestos!$C$153,0)/2),0))</f>
        <v>0</v>
      </c>
      <c r="AE36" s="78" t="n">
        <f aca="false">IF(5=Supuestos!$C$154,INT(ROUND(AE32*12/Supuestos!$C$153,0)/2),IF(5=Supuestos!$C$155,ROUND(AE32*12/Supuestos!$C$153,0)-INT(ROUND(AE32*12/Supuestos!$C$153,0)/2),0))</f>
        <v>0</v>
      </c>
      <c r="AF36" s="78" t="n">
        <f aca="false">IF(6=Supuestos!$C$154,INT(ROUND(AF32*12/Supuestos!$C$153,0)/2),IF(6=Supuestos!$C$155,ROUND(AF32*12/Supuestos!$C$153,0)-INT(ROUND(AF32*12/Supuestos!$C$153,0)/2),0))</f>
        <v>0</v>
      </c>
      <c r="AG36" s="78" t="n">
        <f aca="false">IF(7=Supuestos!$C$154,INT(ROUND(AG32*12/Supuestos!$C$153,0)/2),IF(7=Supuestos!$C$155,ROUND(AG32*12/Supuestos!$C$153,0)-INT(ROUND(AG32*12/Supuestos!$C$153,0)/2),0))</f>
        <v>0</v>
      </c>
      <c r="AH36" s="78" t="n">
        <f aca="false">IF(8=Supuestos!$C$154,INT(ROUND(AH32*12/Supuestos!$C$153,0)/2),IF(8=Supuestos!$C$155,ROUND(AH32*12/Supuestos!$C$153,0)-INT(ROUND(AH32*12/Supuestos!$C$153,0)/2),0))</f>
        <v>0</v>
      </c>
      <c r="AI36" s="78" t="n">
        <f aca="false">IF(9=Supuestos!$C$154,INT(ROUND(AI32*12/Supuestos!$C$153,0)/2),IF(9=Supuestos!$C$155,ROUND(AI32*12/Supuestos!$C$153,0)-INT(ROUND(AI32*12/Supuestos!$C$153,0)/2),0))</f>
        <v>356</v>
      </c>
      <c r="AJ36" s="78" t="n">
        <f aca="false">IF(10=Supuestos!$C$154,INT(ROUND(AJ32*12/Supuestos!$C$153,0)/2),IF(10=Supuestos!$C$155,ROUND(AJ32*12/Supuestos!$C$153,0)-INT(ROUND(AJ32*12/Supuestos!$C$153,0)/2),0))</f>
        <v>0</v>
      </c>
      <c r="AK36" s="78" t="n">
        <f aca="false">IF(11=Supuestos!$C$154,INT(ROUND(AK32*12/Supuestos!$C$153,0)/2),IF(11=Supuestos!$C$155,ROUND(AK32*12/Supuestos!$C$153,0)-INT(ROUND(AK32*12/Supuestos!$C$153,0)/2),0))</f>
        <v>0</v>
      </c>
      <c r="AL36" s="78" t="n">
        <f aca="false">IF(12=Supuestos!$C$154,INT(ROUND(AL32*12/Supuestos!$C$153,0)/2),IF(12=Supuestos!$C$155,ROUND(AL32*12/Supuestos!$C$153,0)-INT(ROUND(AL32*12/Supuestos!$C$153,0)/2),0))</f>
        <v>0</v>
      </c>
      <c r="AM36" s="78" t="n">
        <f aca="false">IF(1=Supuestos!$C$154,INT(ROUND(AM32*12/Supuestos!$C$153,0)/2),IF(1=Supuestos!$C$155,ROUND(AM32*12/Supuestos!$C$153,0)-INT(ROUND(AM32*12/Supuestos!$C$153,0)/2),0))</f>
        <v>0</v>
      </c>
      <c r="AN36" s="78" t="n">
        <f aca="false">IF(2=Supuestos!$C$154,INT(ROUND(AN32*12/Supuestos!$C$153,0)/2),IF(2=Supuestos!$C$155,ROUND(AN32*12/Supuestos!$C$153,0)-INT(ROUND(AN32*12/Supuestos!$C$153,0)/2),0))</f>
        <v>0</v>
      </c>
      <c r="AO36" s="78" t="n">
        <f aca="false">IF(3=Supuestos!$C$154,INT(ROUND(AO32*12/Supuestos!$C$153,0)/2),IF(3=Supuestos!$C$155,ROUND(AO32*12/Supuestos!$C$153,0)-INT(ROUND(AO32*12/Supuestos!$C$153,0)/2),0))</f>
        <v>464</v>
      </c>
      <c r="AP36" s="78" t="n">
        <f aca="false">IF(4=Supuestos!$C$154,INT(ROUND(AP32*12/Supuestos!$C$153,0)/2),IF(4=Supuestos!$C$155,ROUND(AP32*12/Supuestos!$C$153,0)-INT(ROUND(AP32*12/Supuestos!$C$153,0)/2),0))</f>
        <v>0</v>
      </c>
      <c r="AQ36" s="78" t="n">
        <f aca="false">IF(5=Supuestos!$C$154,INT(ROUND(AQ32*12/Supuestos!$C$153,0)/2),IF(5=Supuestos!$C$155,ROUND(AQ32*12/Supuestos!$C$153,0)-INT(ROUND(AQ32*12/Supuestos!$C$153,0)/2),0))</f>
        <v>0</v>
      </c>
      <c r="AR36" s="78" t="n">
        <f aca="false">IF(6=Supuestos!$C$154,INT(ROUND(AR32*12/Supuestos!$C$153,0)/2),IF(6=Supuestos!$C$155,ROUND(AR32*12/Supuestos!$C$153,0)-INT(ROUND(AR32*12/Supuestos!$C$153,0)/2),0))</f>
        <v>0</v>
      </c>
      <c r="AS36" s="78" t="n">
        <f aca="false">IF(7=Supuestos!$C$154,INT(ROUND(AS32*12/Supuestos!$C$153,0)/2),IF(7=Supuestos!$C$155,ROUND(AS32*12/Supuestos!$C$153,0)-INT(ROUND(AS32*12/Supuestos!$C$153,0)/2),0))</f>
        <v>0</v>
      </c>
      <c r="AT36" s="78" t="n">
        <f aca="false">IF(8=Supuestos!$C$154,INT(ROUND(AT32*12/Supuestos!$C$153,0)/2),IF(8=Supuestos!$C$155,ROUND(AT32*12/Supuestos!$C$153,0)-INT(ROUND(AT32*12/Supuestos!$C$153,0)/2),0))</f>
        <v>0</v>
      </c>
      <c r="AU36" s="78" t="n">
        <f aca="false">IF(9=Supuestos!$C$154,INT(ROUND(AU32*12/Supuestos!$C$153,0)/2),IF(9=Supuestos!$C$155,ROUND(AU32*12/Supuestos!$C$153,0)-INT(ROUND(AU32*12/Supuestos!$C$153,0)/2),0))</f>
        <v>464</v>
      </c>
      <c r="AV36" s="78" t="n">
        <f aca="false">IF(10=Supuestos!$C$154,INT(ROUND(AV32*12/Supuestos!$C$153,0)/2),IF(10=Supuestos!$C$155,ROUND(AV32*12/Supuestos!$C$153,0)-INT(ROUND(AV32*12/Supuestos!$C$153,0)/2),0))</f>
        <v>0</v>
      </c>
      <c r="AW36" s="78" t="n">
        <f aca="false">IF(11=Supuestos!$C$154,INT(ROUND(AW32*12/Supuestos!$C$153,0)/2),IF(11=Supuestos!$C$155,ROUND(AW32*12/Supuestos!$C$153,0)-INT(ROUND(AW32*12/Supuestos!$C$153,0)/2),0))</f>
        <v>0</v>
      </c>
      <c r="AX36" s="78" t="n">
        <f aca="false">IF(12=Supuestos!$C$154,INT(ROUND(AX32*12/Supuestos!$C$153,0)/2),IF(12=Supuestos!$C$155,ROUND(AX32*12/Supuestos!$C$153,0)-INT(ROUND(AX32*12/Supuestos!$C$153,0)/2),0))</f>
        <v>0</v>
      </c>
      <c r="AY36" s="78" t="n">
        <f aca="false">IF(1=Supuestos!$C$154,INT(ROUND(AY32*12/Supuestos!$C$153,0)/2),IF(1=Supuestos!$C$155,ROUND(AY32*12/Supuestos!$C$153,0)-INT(ROUND(AY32*12/Supuestos!$C$153,0)/2),0))</f>
        <v>0</v>
      </c>
      <c r="AZ36" s="78" t="n">
        <f aca="false">IF(2=Supuestos!$C$154,INT(ROUND(AZ32*12/Supuestos!$C$153,0)/2),IF(2=Supuestos!$C$155,ROUND(AZ32*12/Supuestos!$C$153,0)-INT(ROUND(AZ32*12/Supuestos!$C$153,0)/2),0))</f>
        <v>0</v>
      </c>
      <c r="BA36" s="78" t="n">
        <f aca="false">IF(3=Supuestos!$C$154,INT(ROUND(BA32*12/Supuestos!$C$153,0)/2),IF(3=Supuestos!$C$155,ROUND(BA32*12/Supuestos!$C$153,0)-INT(ROUND(BA32*12/Supuestos!$C$153,0)/2),0))</f>
        <v>464</v>
      </c>
      <c r="BB36" s="78" t="n">
        <f aca="false">IF(4=Supuestos!$C$154,INT(ROUND(BB32*12/Supuestos!$C$153,0)/2),IF(4=Supuestos!$C$155,ROUND(BB32*12/Supuestos!$C$153,0)-INT(ROUND(BB32*12/Supuestos!$C$153,0)/2),0))</f>
        <v>0</v>
      </c>
      <c r="BC36" s="78" t="n">
        <f aca="false">IF(5=Supuestos!$C$154,INT(ROUND(BC32*12/Supuestos!$C$153,0)/2),IF(5=Supuestos!$C$155,ROUND(BC32*12/Supuestos!$C$153,0)-INT(ROUND(BC32*12/Supuestos!$C$153,0)/2),0))</f>
        <v>0</v>
      </c>
      <c r="BD36" s="78" t="n">
        <f aca="false">IF(6=Supuestos!$C$154,INT(ROUND(BD32*12/Supuestos!$C$153,0)/2),IF(6=Supuestos!$C$155,ROUND(BD32*12/Supuestos!$C$153,0)-INT(ROUND(BD32*12/Supuestos!$C$153,0)/2),0))</f>
        <v>0</v>
      </c>
      <c r="BE36" s="78" t="n">
        <f aca="false">IF(7=Supuestos!$C$154,INT(ROUND(BE32*12/Supuestos!$C$153,0)/2),IF(7=Supuestos!$C$155,ROUND(BE32*12/Supuestos!$C$153,0)-INT(ROUND(BE32*12/Supuestos!$C$153,0)/2),0))</f>
        <v>0</v>
      </c>
      <c r="BF36" s="78" t="n">
        <f aca="false">IF(8=Supuestos!$C$154,INT(ROUND(BF32*12/Supuestos!$C$153,0)/2),IF(8=Supuestos!$C$155,ROUND(BF32*12/Supuestos!$C$153,0)-INT(ROUND(BF32*12/Supuestos!$C$153,0)/2),0))</f>
        <v>0</v>
      </c>
      <c r="BG36" s="78" t="n">
        <f aca="false">IF(9=Supuestos!$C$154,INT(ROUND(BG32*12/Supuestos!$C$153,0)/2),IF(9=Supuestos!$C$155,ROUND(BG32*12/Supuestos!$C$153,0)-INT(ROUND(BG32*12/Supuestos!$C$153,0)/2),0))</f>
        <v>464</v>
      </c>
      <c r="BH36" s="78" t="n">
        <f aca="false">IF(10=Supuestos!$C$154,INT(ROUND(BH32*12/Supuestos!$C$153,0)/2),IF(10=Supuestos!$C$155,ROUND(BH32*12/Supuestos!$C$153,0)-INT(ROUND(BH32*12/Supuestos!$C$153,0)/2),0))</f>
        <v>0</v>
      </c>
      <c r="BI36" s="78" t="n">
        <f aca="false">IF(11=Supuestos!$C$154,INT(ROUND(BI32*12/Supuestos!$C$153,0)/2),IF(11=Supuestos!$C$155,ROUND(BI32*12/Supuestos!$C$153,0)-INT(ROUND(BI32*12/Supuestos!$C$153,0)/2),0))</f>
        <v>0</v>
      </c>
      <c r="BJ36" s="78" t="n">
        <f aca="false">IF(12=Supuestos!$C$154,INT(ROUND(BJ32*12/Supuestos!$C$153,0)/2),IF(12=Supuestos!$C$155,ROUND(BJ32*12/Supuestos!$C$153,0)-INT(ROUND(BJ32*12/Supuestos!$C$153,0)/2),0))</f>
        <v>0</v>
      </c>
      <c r="BK36" s="78" t="n">
        <f aca="false">IF(1=Supuestos!$C$154,INT(ROUND(BK32*12/Supuestos!$C$153,0)/2),IF(1=Supuestos!$C$155,ROUND(BK32*12/Supuestos!$C$153,0)-INT(ROUND(BK32*12/Supuestos!$C$153,0)/2),0))</f>
        <v>0</v>
      </c>
      <c r="BL36" s="78" t="n">
        <f aca="false">IF(2=Supuestos!$C$154,INT(ROUND(BL32*12/Supuestos!$C$153,0)/2),IF(2=Supuestos!$C$155,ROUND(BL32*12/Supuestos!$C$153,0)-INT(ROUND(BL32*12/Supuestos!$C$153,0)/2),0))</f>
        <v>0</v>
      </c>
      <c r="BM36" s="78" t="n">
        <f aca="false">IF(3=Supuestos!$C$154,INT(ROUND(BM32*12/Supuestos!$C$153,0)/2),IF(3=Supuestos!$C$155,ROUND(BM32*12/Supuestos!$C$153,0)-INT(ROUND(BM32*12/Supuestos!$C$153,0)/2),0))</f>
        <v>464</v>
      </c>
      <c r="BN36" s="78" t="n">
        <f aca="false">IF(4=Supuestos!$C$154,INT(ROUND(BN32*12/Supuestos!$C$153,0)/2),IF(4=Supuestos!$C$155,ROUND(BN32*12/Supuestos!$C$153,0)-INT(ROUND(BN32*12/Supuestos!$C$153,0)/2),0))</f>
        <v>0</v>
      </c>
      <c r="BO36" s="78" t="n">
        <f aca="false">IF(5=Supuestos!$C$154,INT(ROUND(BO32*12/Supuestos!$C$153,0)/2),IF(5=Supuestos!$C$155,ROUND(BO32*12/Supuestos!$C$153,0)-INT(ROUND(BO32*12/Supuestos!$C$153,0)/2),0))</f>
        <v>0</v>
      </c>
      <c r="BP36" s="78" t="n">
        <f aca="false">IF(6=Supuestos!$C$154,INT(ROUND(BP32*12/Supuestos!$C$153,0)/2),IF(6=Supuestos!$C$155,ROUND(BP32*12/Supuestos!$C$153,0)-INT(ROUND(BP32*12/Supuestos!$C$153,0)/2),0))</f>
        <v>0</v>
      </c>
      <c r="BQ36" s="78" t="n">
        <f aca="false">IF(7=Supuestos!$C$154,INT(ROUND(BQ32*12/Supuestos!$C$153,0)/2),IF(7=Supuestos!$C$155,ROUND(BQ32*12/Supuestos!$C$153,0)-INT(ROUND(BQ32*12/Supuestos!$C$153,0)/2),0))</f>
        <v>0</v>
      </c>
      <c r="BR36" s="78" t="n">
        <f aca="false">IF(8=Supuestos!$C$154,INT(ROUND(BR32*12/Supuestos!$C$153,0)/2),IF(8=Supuestos!$C$155,ROUND(BR32*12/Supuestos!$C$153,0)-INT(ROUND(BR32*12/Supuestos!$C$153,0)/2),0))</f>
        <v>0</v>
      </c>
      <c r="BS36" s="78" t="n">
        <f aca="false">IF(9=Supuestos!$C$154,INT(ROUND(BS32*12/Supuestos!$C$153,0)/2),IF(9=Supuestos!$C$155,ROUND(BS32*12/Supuestos!$C$153,0)-INT(ROUND(BS32*12/Supuestos!$C$153,0)/2),0))</f>
        <v>464</v>
      </c>
      <c r="BT36" s="78" t="n">
        <f aca="false">IF(10=Supuestos!$C$154,INT(ROUND(BT32*12/Supuestos!$C$153,0)/2),IF(10=Supuestos!$C$155,ROUND(BT32*12/Supuestos!$C$153,0)-INT(ROUND(BT32*12/Supuestos!$C$153,0)/2),0))</f>
        <v>0</v>
      </c>
      <c r="BU36" s="78" t="n">
        <f aca="false">IF(11=Supuestos!$C$154,INT(ROUND(BU32*12/Supuestos!$C$153,0)/2),IF(11=Supuestos!$C$155,ROUND(BU32*12/Supuestos!$C$153,0)-INT(ROUND(BU32*12/Supuestos!$C$153,0)/2),0))</f>
        <v>0</v>
      </c>
      <c r="BV36" s="78" t="n">
        <f aca="false">IF(12=Supuestos!$C$154,INT(ROUND(BV32*12/Supuestos!$C$153,0)/2),IF(12=Supuestos!$C$155,ROUND(BV32*12/Supuestos!$C$153,0)-INT(ROUND(BV32*12/Supuestos!$C$153,0)/2),0))</f>
        <v>0</v>
      </c>
      <c r="BW36" s="78" t="n">
        <f aca="false">IF(1=Supuestos!$C$154,INT(ROUND(BW32*12/Supuestos!$C$153,0)/2),IF(1=Supuestos!$C$155,ROUND(BW32*12/Supuestos!$C$153,0)-INT(ROUND(BW32*12/Supuestos!$C$153,0)/2),0))</f>
        <v>0</v>
      </c>
      <c r="BX36" s="78" t="n">
        <f aca="false">IF(2=Supuestos!$C$154,INT(ROUND(BX32*12/Supuestos!$C$153,0)/2),IF(2=Supuestos!$C$155,ROUND(BX32*12/Supuestos!$C$153,0)-INT(ROUND(BX32*12/Supuestos!$C$153,0)/2),0))</f>
        <v>0</v>
      </c>
      <c r="BY36" s="78" t="n">
        <f aca="false">IF(3=Supuestos!$C$154,INT(ROUND(BY32*12/Supuestos!$C$153,0)/2),IF(3=Supuestos!$C$155,ROUND(BY32*12/Supuestos!$C$153,0)-INT(ROUND(BY32*12/Supuestos!$C$153,0)/2),0))</f>
        <v>464</v>
      </c>
      <c r="BZ36" s="78" t="n">
        <f aca="false">IF(4=Supuestos!$C$154,INT(ROUND(BZ32*12/Supuestos!$C$153,0)/2),IF(4=Supuestos!$C$155,ROUND(BZ32*12/Supuestos!$C$153,0)-INT(ROUND(BZ32*12/Supuestos!$C$153,0)/2),0))</f>
        <v>0</v>
      </c>
      <c r="CA36" s="78" t="n">
        <f aca="false">IF(5=Supuestos!$C$154,INT(ROUND(CA32*12/Supuestos!$C$153,0)/2),IF(5=Supuestos!$C$155,ROUND(CA32*12/Supuestos!$C$153,0)-INT(ROUND(CA32*12/Supuestos!$C$153,0)/2),0))</f>
        <v>0</v>
      </c>
      <c r="CB36" s="78" t="n">
        <f aca="false">IF(6=Supuestos!$C$154,INT(ROUND(CB32*12/Supuestos!$C$153,0)/2),IF(6=Supuestos!$C$155,ROUND(CB32*12/Supuestos!$C$153,0)-INT(ROUND(CB32*12/Supuestos!$C$153,0)/2),0))</f>
        <v>0</v>
      </c>
      <c r="CC36" s="78" t="n">
        <f aca="false">IF(7=Supuestos!$C$154,INT(ROUND(CC32*12/Supuestos!$C$153,0)/2),IF(7=Supuestos!$C$155,ROUND(CC32*12/Supuestos!$C$153,0)-INT(ROUND(CC32*12/Supuestos!$C$153,0)/2),0))</f>
        <v>0</v>
      </c>
      <c r="CD36" s="78" t="n">
        <f aca="false">IF(8=Supuestos!$C$154,INT(ROUND(CD32*12/Supuestos!$C$153,0)/2),IF(8=Supuestos!$C$155,ROUND(CD32*12/Supuestos!$C$153,0)-INT(ROUND(CD32*12/Supuestos!$C$153,0)/2),0))</f>
        <v>0</v>
      </c>
      <c r="CE36" s="78" t="n">
        <f aca="false">IF(9=Supuestos!$C$154,INT(ROUND(CE32*12/Supuestos!$C$153,0)/2),IF(9=Supuestos!$C$155,ROUND(CE32*12/Supuestos!$C$153,0)-INT(ROUND(CE32*12/Supuestos!$C$153,0)/2),0))</f>
        <v>464</v>
      </c>
      <c r="CF36" s="78" t="n">
        <f aca="false">IF(10=Supuestos!$C$154,INT(ROUND(CF32*12/Supuestos!$C$153,0)/2),IF(10=Supuestos!$C$155,ROUND(CF32*12/Supuestos!$C$153,0)-INT(ROUND(CF32*12/Supuestos!$C$153,0)/2),0))</f>
        <v>0</v>
      </c>
      <c r="CG36" s="78" t="n">
        <f aca="false">IF(11=Supuestos!$C$154,INT(ROUND(CG32*12/Supuestos!$C$153,0)/2),IF(11=Supuestos!$C$155,ROUND(CG32*12/Supuestos!$C$153,0)-INT(ROUND(CG32*12/Supuestos!$C$153,0)/2),0))</f>
        <v>0</v>
      </c>
      <c r="CH36" s="78" t="n">
        <f aca="false">IF(12=Supuestos!$C$154,INT(ROUND(CH32*12/Supuestos!$C$153,0)/2),IF(12=Supuestos!$C$155,ROUND(CH32*12/Supuestos!$C$153,0)-INT(ROUND(CH32*12/Supuestos!$C$153,0)/2),0))</f>
        <v>0</v>
      </c>
      <c r="CI36" s="78" t="n">
        <f aca="false">IF(1=Supuestos!$C$154,INT(ROUND(CI32*12/Supuestos!$C$153,0)/2),IF(1=Supuestos!$C$155,ROUND(CI32*12/Supuestos!$C$153,0)-INT(ROUND(CI32*12/Supuestos!$C$153,0)/2),0))</f>
        <v>0</v>
      </c>
      <c r="CJ36" s="78" t="n">
        <f aca="false">IF(2=Supuestos!$C$154,INT(ROUND(CJ32*12/Supuestos!$C$153,0)/2),IF(2=Supuestos!$C$155,ROUND(CJ32*12/Supuestos!$C$153,0)-INT(ROUND(CJ32*12/Supuestos!$C$153,0)/2),0))</f>
        <v>0</v>
      </c>
      <c r="CK36" s="78" t="n">
        <f aca="false">IF(3=Supuestos!$C$154,INT(ROUND(CK32*12/Supuestos!$C$153,0)/2),IF(3=Supuestos!$C$155,ROUND(CK32*12/Supuestos!$C$153,0)-INT(ROUND(CK32*12/Supuestos!$C$153,0)/2),0))</f>
        <v>464</v>
      </c>
      <c r="CL36" s="78" t="n">
        <f aca="false">IF(4=Supuestos!$C$154,INT(ROUND(CL32*12/Supuestos!$C$153,0)/2),IF(4=Supuestos!$C$155,ROUND(CL32*12/Supuestos!$C$153,0)-INT(ROUND(CL32*12/Supuestos!$C$153,0)/2),0))</f>
        <v>0</v>
      </c>
      <c r="CM36" s="78" t="n">
        <f aca="false">IF(5=Supuestos!$C$154,INT(ROUND(CM32*12/Supuestos!$C$153,0)/2),IF(5=Supuestos!$C$155,ROUND(CM32*12/Supuestos!$C$153,0)-INT(ROUND(CM32*12/Supuestos!$C$153,0)/2),0))</f>
        <v>0</v>
      </c>
      <c r="CN36" s="78" t="n">
        <f aca="false">IF(6=Supuestos!$C$154,INT(ROUND(CN32*12/Supuestos!$C$153,0)/2),IF(6=Supuestos!$C$155,ROUND(CN32*12/Supuestos!$C$153,0)-INT(ROUND(CN32*12/Supuestos!$C$153,0)/2),0))</f>
        <v>0</v>
      </c>
      <c r="CO36" s="78" t="n">
        <f aca="false">IF(7=Supuestos!$C$154,INT(ROUND(CO32*12/Supuestos!$C$153,0)/2),IF(7=Supuestos!$C$155,ROUND(CO32*12/Supuestos!$C$153,0)-INT(ROUND(CO32*12/Supuestos!$C$153,0)/2),0))</f>
        <v>0</v>
      </c>
      <c r="CP36" s="78" t="n">
        <f aca="false">IF(8=Supuestos!$C$154,INT(ROUND(CP32*12/Supuestos!$C$153,0)/2),IF(8=Supuestos!$C$155,ROUND(CP32*12/Supuestos!$C$153,0)-INT(ROUND(CP32*12/Supuestos!$C$153,0)/2),0))</f>
        <v>0</v>
      </c>
      <c r="CQ36" s="78" t="n">
        <f aca="false">IF(9=Supuestos!$C$154,INT(ROUND(CQ32*12/Supuestos!$C$153,0)/2),IF(9=Supuestos!$C$155,ROUND(CQ32*12/Supuestos!$C$153,0)-INT(ROUND(CQ32*12/Supuestos!$C$153,0)/2),0))</f>
        <v>464</v>
      </c>
      <c r="CR36" s="78" t="n">
        <f aca="false">IF(10=Supuestos!$C$154,INT(ROUND(CR32*12/Supuestos!$C$153,0)/2),IF(10=Supuestos!$C$155,ROUND(CR32*12/Supuestos!$C$153,0)-INT(ROUND(CR32*12/Supuestos!$C$153,0)/2),0))</f>
        <v>0</v>
      </c>
      <c r="CS36" s="78" t="n">
        <f aca="false">IF(11=Supuestos!$C$154,INT(ROUND(CS32*12/Supuestos!$C$153,0)/2),IF(11=Supuestos!$C$155,ROUND(CS32*12/Supuestos!$C$153,0)-INT(ROUND(CS32*12/Supuestos!$C$153,0)/2),0))</f>
        <v>0</v>
      </c>
      <c r="CT36" s="78" t="n">
        <f aca="false">IF(12=Supuestos!$C$154,INT(ROUND(CT32*12/Supuestos!$C$153,0)/2),IF(12=Supuestos!$C$155,ROUND(CT32*12/Supuestos!$C$153,0)-INT(ROUND(CT32*12/Supuestos!$C$153,0)/2),0))</f>
        <v>0</v>
      </c>
    </row>
    <row r="37" customFormat="false" ht="15" hidden="false" customHeight="false" outlineLevel="0" collapsed="false">
      <c r="A37" s="2"/>
      <c r="B37" s="19" t="s">
        <v>713</v>
      </c>
      <c r="C37" s="78" t="n">
        <f aca="true">IF(1&gt;Supuestos!$C$156,OFFSET(C36,0,-Supuestos!$C$156),0)</f>
        <v>0</v>
      </c>
      <c r="D37" s="78" t="n">
        <f aca="true">IF(2&gt;Supuestos!$C$156,OFFSET(D36,0,-Supuestos!$C$156),0)</f>
        <v>0</v>
      </c>
      <c r="E37" s="78" t="n">
        <f aca="true">IF(3&gt;Supuestos!$C$156,OFFSET(E36,0,-Supuestos!$C$156),0)</f>
        <v>0</v>
      </c>
      <c r="F37" s="78" t="n">
        <f aca="true">IF(4&gt;Supuestos!$C$156,OFFSET(F36,0,-Supuestos!$C$156),0)</f>
        <v>0</v>
      </c>
      <c r="G37" s="78" t="n">
        <f aca="true">IF(5&gt;Supuestos!$C$156,OFFSET(G36,0,-Supuestos!$C$156),0)</f>
        <v>0</v>
      </c>
      <c r="H37" s="78" t="n">
        <f aca="true">IF(6&gt;Supuestos!$C$156,OFFSET(H36,0,-Supuestos!$C$156),0)</f>
        <v>0</v>
      </c>
      <c r="I37" s="78" t="n">
        <f aca="true">IF(7&gt;Supuestos!$C$156,OFFSET(I36,0,-Supuestos!$C$156),0)</f>
        <v>0</v>
      </c>
      <c r="J37" s="78" t="n">
        <f aca="true">IF(8&gt;Supuestos!$C$156,OFFSET(J36,0,-Supuestos!$C$156),0)</f>
        <v>0</v>
      </c>
      <c r="K37" s="78" t="n">
        <f aca="true">IF(9&gt;Supuestos!$C$156,OFFSET(K36,0,-Supuestos!$C$156),0)</f>
        <v>0</v>
      </c>
      <c r="L37" s="78" t="n">
        <f aca="true">IF(10&gt;Supuestos!$C$156,OFFSET(L36,0,-Supuestos!$C$156),0)</f>
        <v>0</v>
      </c>
      <c r="M37" s="78" t="n">
        <f aca="true">IF(11&gt;Supuestos!$C$156,OFFSET(M36,0,-Supuestos!$C$156),0)</f>
        <v>0</v>
      </c>
      <c r="N37" s="78" t="n">
        <f aca="true">IF(12&gt;Supuestos!$C$156,OFFSET(N36,0,-Supuestos!$C$156),0)</f>
        <v>0</v>
      </c>
      <c r="O37" s="78" t="n">
        <f aca="true">IF(13&gt;Supuestos!$C$156,OFFSET(O36,0,-Supuestos!$C$156),0)</f>
        <v>0</v>
      </c>
      <c r="P37" s="78" t="n">
        <f aca="true">IF(14&gt;Supuestos!$C$156,OFFSET(P36,0,-Supuestos!$C$156),0)</f>
        <v>0</v>
      </c>
      <c r="Q37" s="78" t="n">
        <f aca="true">IF(15&gt;Supuestos!$C$156,OFFSET(Q36,0,-Supuestos!$C$156),0)</f>
        <v>0</v>
      </c>
      <c r="R37" s="78" t="n">
        <f aca="true">IF(16&gt;Supuestos!$C$156,OFFSET(R36,0,-Supuestos!$C$156),0)</f>
        <v>0</v>
      </c>
      <c r="S37" s="78" t="n">
        <f aca="true">IF(17&gt;Supuestos!$C$156,OFFSET(S36,0,-Supuestos!$C$156),0)</f>
        <v>0</v>
      </c>
      <c r="T37" s="78" t="n">
        <f aca="true">IF(18&gt;Supuestos!$C$156,OFFSET(T36,0,-Supuestos!$C$156),0)</f>
        <v>0</v>
      </c>
      <c r="U37" s="78" t="n">
        <f aca="true">IF(19&gt;Supuestos!$C$156,OFFSET(U36,0,-Supuestos!$C$156),0)</f>
        <v>0</v>
      </c>
      <c r="V37" s="78" t="n">
        <f aca="true">IF(20&gt;Supuestos!$C$156,OFFSET(V36,0,-Supuestos!$C$156),0)</f>
        <v>0</v>
      </c>
      <c r="W37" s="78" t="n">
        <f aca="true">IF(21&gt;Supuestos!$C$156,OFFSET(W36,0,-Supuestos!$C$156),0)</f>
        <v>0</v>
      </c>
      <c r="X37" s="78" t="n">
        <f aca="true">IF(22&gt;Supuestos!$C$156,OFFSET(X36,0,-Supuestos!$C$156),0)</f>
        <v>0</v>
      </c>
      <c r="Y37" s="78" t="n">
        <f aca="true">IF(23&gt;Supuestos!$C$156,OFFSET(Y36,0,-Supuestos!$C$156),0)</f>
        <v>0</v>
      </c>
      <c r="Z37" s="78" t="n">
        <f aca="true">IF(24&gt;Supuestos!$C$156,OFFSET(Z36,0,-Supuestos!$C$156),0)</f>
        <v>0</v>
      </c>
      <c r="AA37" s="78" t="n">
        <f aca="true">IF(25&gt;Supuestos!$C$156,OFFSET(AA36,0,-Supuestos!$C$156),0)</f>
        <v>0</v>
      </c>
      <c r="AB37" s="78" t="n">
        <f aca="true">IF(26&gt;Supuestos!$C$156,OFFSET(AB36,0,-Supuestos!$C$156),0)</f>
        <v>0</v>
      </c>
      <c r="AC37" s="78" t="n">
        <f aca="true">IF(27&gt;Supuestos!$C$156,OFFSET(AC36,0,-Supuestos!$C$156),0)</f>
        <v>231</v>
      </c>
      <c r="AD37" s="78" t="n">
        <f aca="true">IF(28&gt;Supuestos!$C$156,OFFSET(AD36,0,-Supuestos!$C$156),0)</f>
        <v>0</v>
      </c>
      <c r="AE37" s="78" t="n">
        <f aca="true">IF(29&gt;Supuestos!$C$156,OFFSET(AE36,0,-Supuestos!$C$156),0)</f>
        <v>0</v>
      </c>
      <c r="AF37" s="78" t="n">
        <f aca="true">IF(30&gt;Supuestos!$C$156,OFFSET(AF36,0,-Supuestos!$C$156),0)</f>
        <v>0</v>
      </c>
      <c r="AG37" s="78" t="n">
        <f aca="true">IF(31&gt;Supuestos!$C$156,OFFSET(AG36,0,-Supuestos!$C$156),0)</f>
        <v>0</v>
      </c>
      <c r="AH37" s="78" t="n">
        <f aca="true">IF(32&gt;Supuestos!$C$156,OFFSET(AH36,0,-Supuestos!$C$156),0)</f>
        <v>0</v>
      </c>
      <c r="AI37" s="78" t="n">
        <f aca="true">IF(33&gt;Supuestos!$C$156,OFFSET(AI36,0,-Supuestos!$C$156),0)</f>
        <v>231</v>
      </c>
      <c r="AJ37" s="78" t="n">
        <f aca="true">IF(34&gt;Supuestos!$C$156,OFFSET(AJ36,0,-Supuestos!$C$156),0)</f>
        <v>0</v>
      </c>
      <c r="AK37" s="78" t="n">
        <f aca="true">IF(35&gt;Supuestos!$C$156,OFFSET(AK36,0,-Supuestos!$C$156),0)</f>
        <v>0</v>
      </c>
      <c r="AL37" s="78" t="n">
        <f aca="true">IF(36&gt;Supuestos!$C$156,OFFSET(AL36,0,-Supuestos!$C$156),0)</f>
        <v>0</v>
      </c>
      <c r="AM37" s="78" t="n">
        <f aca="true">IF(37&gt;Supuestos!$C$156,OFFSET(AM36,0,-Supuestos!$C$156),0)</f>
        <v>0</v>
      </c>
      <c r="AN37" s="78" t="n">
        <f aca="true">IF(38&gt;Supuestos!$C$156,OFFSET(AN36,0,-Supuestos!$C$156),0)</f>
        <v>0</v>
      </c>
      <c r="AO37" s="78" t="n">
        <f aca="true">IF(39&gt;Supuestos!$C$156,OFFSET(AO36,0,-Supuestos!$C$156),0)</f>
        <v>412</v>
      </c>
      <c r="AP37" s="78" t="n">
        <f aca="true">IF(40&gt;Supuestos!$C$156,OFFSET(AP36,0,-Supuestos!$C$156),0)</f>
        <v>0</v>
      </c>
      <c r="AQ37" s="78" t="n">
        <f aca="true">IF(41&gt;Supuestos!$C$156,OFFSET(AQ36,0,-Supuestos!$C$156),0)</f>
        <v>0</v>
      </c>
      <c r="AR37" s="78" t="n">
        <f aca="true">IF(42&gt;Supuestos!$C$156,OFFSET(AR36,0,-Supuestos!$C$156),0)</f>
        <v>0</v>
      </c>
      <c r="AS37" s="78" t="n">
        <f aca="true">IF(43&gt;Supuestos!$C$156,OFFSET(AS36,0,-Supuestos!$C$156),0)</f>
        <v>0</v>
      </c>
      <c r="AT37" s="78" t="n">
        <f aca="true">IF(44&gt;Supuestos!$C$156,OFFSET(AT36,0,-Supuestos!$C$156),0)</f>
        <v>0</v>
      </c>
      <c r="AU37" s="78" t="n">
        <f aca="true">IF(45&gt;Supuestos!$C$156,OFFSET(AU36,0,-Supuestos!$C$156),0)</f>
        <v>412</v>
      </c>
      <c r="AV37" s="78" t="n">
        <f aca="true">IF(46&gt;Supuestos!$C$156,OFFSET(AV36,0,-Supuestos!$C$156),0)</f>
        <v>0</v>
      </c>
      <c r="AW37" s="78" t="n">
        <f aca="true">IF(47&gt;Supuestos!$C$156,OFFSET(AW36,0,-Supuestos!$C$156),0)</f>
        <v>0</v>
      </c>
      <c r="AX37" s="78" t="n">
        <f aca="true">IF(48&gt;Supuestos!$C$156,OFFSET(AX36,0,-Supuestos!$C$156),0)</f>
        <v>0</v>
      </c>
      <c r="AY37" s="78" t="n">
        <f aca="true">IF(49&gt;Supuestos!$C$156,OFFSET(AY36,0,-Supuestos!$C$156),0)</f>
        <v>0</v>
      </c>
      <c r="AZ37" s="78" t="n">
        <f aca="true">IF(50&gt;Supuestos!$C$156,OFFSET(AZ36,0,-Supuestos!$C$156),0)</f>
        <v>0</v>
      </c>
      <c r="BA37" s="78" t="n">
        <f aca="true">IF(51&gt;Supuestos!$C$156,OFFSET(BA36,0,-Supuestos!$C$156),0)</f>
        <v>355</v>
      </c>
      <c r="BB37" s="78" t="n">
        <f aca="true">IF(52&gt;Supuestos!$C$156,OFFSET(BB36,0,-Supuestos!$C$156),0)</f>
        <v>0</v>
      </c>
      <c r="BC37" s="78" t="n">
        <f aca="true">IF(53&gt;Supuestos!$C$156,OFFSET(BC36,0,-Supuestos!$C$156),0)</f>
        <v>0</v>
      </c>
      <c r="BD37" s="78" t="n">
        <f aca="true">IF(54&gt;Supuestos!$C$156,OFFSET(BD36,0,-Supuestos!$C$156),0)</f>
        <v>0</v>
      </c>
      <c r="BE37" s="78" t="n">
        <f aca="true">IF(55&gt;Supuestos!$C$156,OFFSET(BE36,0,-Supuestos!$C$156),0)</f>
        <v>0</v>
      </c>
      <c r="BF37" s="78" t="n">
        <f aca="true">IF(56&gt;Supuestos!$C$156,OFFSET(BF36,0,-Supuestos!$C$156),0)</f>
        <v>0</v>
      </c>
      <c r="BG37" s="78" t="n">
        <f aca="true">IF(57&gt;Supuestos!$C$156,OFFSET(BG36,0,-Supuestos!$C$156),0)</f>
        <v>356</v>
      </c>
      <c r="BH37" s="78" t="n">
        <f aca="true">IF(58&gt;Supuestos!$C$156,OFFSET(BH36,0,-Supuestos!$C$156),0)</f>
        <v>0</v>
      </c>
      <c r="BI37" s="78" t="n">
        <f aca="true">IF(59&gt;Supuestos!$C$156,OFFSET(BI36,0,-Supuestos!$C$156),0)</f>
        <v>0</v>
      </c>
      <c r="BJ37" s="78" t="n">
        <f aca="true">IF(60&gt;Supuestos!$C$156,OFFSET(BJ36,0,-Supuestos!$C$156),0)</f>
        <v>0</v>
      </c>
      <c r="BK37" s="78" t="n">
        <f aca="true">IF(61&gt;Supuestos!$C$156,OFFSET(BK36,0,-Supuestos!$C$156),0)</f>
        <v>0</v>
      </c>
      <c r="BL37" s="78" t="n">
        <f aca="true">IF(62&gt;Supuestos!$C$156,OFFSET(BL36,0,-Supuestos!$C$156),0)</f>
        <v>0</v>
      </c>
      <c r="BM37" s="78" t="n">
        <f aca="true">IF(63&gt;Supuestos!$C$156,OFFSET(BM36,0,-Supuestos!$C$156),0)</f>
        <v>464</v>
      </c>
      <c r="BN37" s="78" t="n">
        <f aca="true">IF(64&gt;Supuestos!$C$156,OFFSET(BN36,0,-Supuestos!$C$156),0)</f>
        <v>0</v>
      </c>
      <c r="BO37" s="78" t="n">
        <f aca="true">IF(65&gt;Supuestos!$C$156,OFFSET(BO36,0,-Supuestos!$C$156),0)</f>
        <v>0</v>
      </c>
      <c r="BP37" s="78" t="n">
        <f aca="true">IF(66&gt;Supuestos!$C$156,OFFSET(BP36,0,-Supuestos!$C$156),0)</f>
        <v>0</v>
      </c>
      <c r="BQ37" s="78" t="n">
        <f aca="true">IF(67&gt;Supuestos!$C$156,OFFSET(BQ36,0,-Supuestos!$C$156),0)</f>
        <v>0</v>
      </c>
      <c r="BR37" s="78" t="n">
        <f aca="true">IF(68&gt;Supuestos!$C$156,OFFSET(BR36,0,-Supuestos!$C$156),0)</f>
        <v>0</v>
      </c>
      <c r="BS37" s="78" t="n">
        <f aca="true">IF(69&gt;Supuestos!$C$156,OFFSET(BS36,0,-Supuestos!$C$156),0)</f>
        <v>464</v>
      </c>
      <c r="BT37" s="78" t="n">
        <f aca="true">IF(70&gt;Supuestos!$C$156,OFFSET(BT36,0,-Supuestos!$C$156),0)</f>
        <v>0</v>
      </c>
      <c r="BU37" s="78" t="n">
        <f aca="true">IF(71&gt;Supuestos!$C$156,OFFSET(BU36,0,-Supuestos!$C$156),0)</f>
        <v>0</v>
      </c>
      <c r="BV37" s="78" t="n">
        <f aca="true">IF(72&gt;Supuestos!$C$156,OFFSET(BV36,0,-Supuestos!$C$156),0)</f>
        <v>0</v>
      </c>
      <c r="BW37" s="78" t="n">
        <f aca="true">IF(73&gt;Supuestos!$C$156,OFFSET(BW36,0,-Supuestos!$C$156),0)</f>
        <v>0</v>
      </c>
      <c r="BX37" s="78" t="n">
        <f aca="true">IF(74&gt;Supuestos!$C$156,OFFSET(BX36,0,-Supuestos!$C$156),0)</f>
        <v>0</v>
      </c>
      <c r="BY37" s="78" t="n">
        <f aca="true">IF(75&gt;Supuestos!$C$156,OFFSET(BY36,0,-Supuestos!$C$156),0)</f>
        <v>464</v>
      </c>
      <c r="BZ37" s="78" t="n">
        <f aca="true">IF(76&gt;Supuestos!$C$156,OFFSET(BZ36,0,-Supuestos!$C$156),0)</f>
        <v>0</v>
      </c>
      <c r="CA37" s="78" t="n">
        <f aca="true">IF(77&gt;Supuestos!$C$156,OFFSET(CA36,0,-Supuestos!$C$156),0)</f>
        <v>0</v>
      </c>
      <c r="CB37" s="78" t="n">
        <f aca="true">IF(78&gt;Supuestos!$C$156,OFFSET(CB36,0,-Supuestos!$C$156),0)</f>
        <v>0</v>
      </c>
      <c r="CC37" s="78" t="n">
        <f aca="true">IF(79&gt;Supuestos!$C$156,OFFSET(CC36,0,-Supuestos!$C$156),0)</f>
        <v>0</v>
      </c>
      <c r="CD37" s="78" t="n">
        <f aca="true">IF(80&gt;Supuestos!$C$156,OFFSET(CD36,0,-Supuestos!$C$156),0)</f>
        <v>0</v>
      </c>
      <c r="CE37" s="78" t="n">
        <f aca="true">IF(81&gt;Supuestos!$C$156,OFFSET(CE36,0,-Supuestos!$C$156),0)</f>
        <v>464</v>
      </c>
      <c r="CF37" s="78" t="n">
        <f aca="true">IF(82&gt;Supuestos!$C$156,OFFSET(CF36,0,-Supuestos!$C$156),0)</f>
        <v>0</v>
      </c>
      <c r="CG37" s="78" t="n">
        <f aca="true">IF(83&gt;Supuestos!$C$156,OFFSET(CG36,0,-Supuestos!$C$156),0)</f>
        <v>0</v>
      </c>
      <c r="CH37" s="78" t="n">
        <f aca="true">IF(84&gt;Supuestos!$C$156,OFFSET(CH36,0,-Supuestos!$C$156),0)</f>
        <v>0</v>
      </c>
      <c r="CI37" s="78" t="n">
        <f aca="true">IF(85&gt;Supuestos!$C$156,OFFSET(CI36,0,-Supuestos!$C$156),0)</f>
        <v>0</v>
      </c>
      <c r="CJ37" s="78" t="n">
        <f aca="true">IF(86&gt;Supuestos!$C$156,OFFSET(CJ36,0,-Supuestos!$C$156),0)</f>
        <v>0</v>
      </c>
      <c r="CK37" s="78" t="n">
        <f aca="true">IF(87&gt;Supuestos!$C$156,OFFSET(CK36,0,-Supuestos!$C$156),0)</f>
        <v>464</v>
      </c>
      <c r="CL37" s="78" t="n">
        <f aca="true">IF(88&gt;Supuestos!$C$156,OFFSET(CL36,0,-Supuestos!$C$156),0)</f>
        <v>0</v>
      </c>
      <c r="CM37" s="78" t="n">
        <f aca="true">IF(89&gt;Supuestos!$C$156,OFFSET(CM36,0,-Supuestos!$C$156),0)</f>
        <v>0</v>
      </c>
      <c r="CN37" s="78" t="n">
        <f aca="true">IF(90&gt;Supuestos!$C$156,OFFSET(CN36,0,-Supuestos!$C$156),0)</f>
        <v>0</v>
      </c>
      <c r="CO37" s="78" t="n">
        <f aca="true">IF(91&gt;Supuestos!$C$156,OFFSET(CO36,0,-Supuestos!$C$156),0)</f>
        <v>0</v>
      </c>
      <c r="CP37" s="78" t="n">
        <f aca="true">IF(92&gt;Supuestos!$C$156,OFFSET(CP36,0,-Supuestos!$C$156),0)</f>
        <v>0</v>
      </c>
      <c r="CQ37" s="78" t="n">
        <f aca="true">IF(93&gt;Supuestos!$C$156,OFFSET(CQ36,0,-Supuestos!$C$156),0)</f>
        <v>464</v>
      </c>
      <c r="CR37" s="78" t="n">
        <f aca="true">IF(94&gt;Supuestos!$C$156,OFFSET(CR36,0,-Supuestos!$C$156),0)</f>
        <v>0</v>
      </c>
      <c r="CS37" s="78" t="n">
        <f aca="true">IF(95&gt;Supuestos!$C$156,OFFSET(CS36,0,-Supuestos!$C$156),0)</f>
        <v>0</v>
      </c>
      <c r="CT37" s="78" t="n">
        <f aca="true">IF(96&gt;Supuestos!$C$156,OFFSET(CT36,0,-Supuestos!$C$156),0)</f>
        <v>0</v>
      </c>
    </row>
    <row r="38" customFormat="false" ht="15" hidden="false" customHeight="false" outlineLevel="0" collapsed="false">
      <c r="A38" s="2"/>
      <c r="B38" s="46" t="s">
        <v>714</v>
      </c>
      <c r="C38" s="79" t="n">
        <f aca="false">C37</f>
        <v>0</v>
      </c>
      <c r="D38" s="79" t="n">
        <f aca="false">C38+D37</f>
        <v>0</v>
      </c>
      <c r="E38" s="79" t="n">
        <f aca="false">D38+E37</f>
        <v>0</v>
      </c>
      <c r="F38" s="79" t="n">
        <f aca="false">E38+F37</f>
        <v>0</v>
      </c>
      <c r="G38" s="79" t="n">
        <f aca="false">F38+G37</f>
        <v>0</v>
      </c>
      <c r="H38" s="79" t="n">
        <f aca="false">G38+H37</f>
        <v>0</v>
      </c>
      <c r="I38" s="79" t="n">
        <f aca="false">H38+I37</f>
        <v>0</v>
      </c>
      <c r="J38" s="79" t="n">
        <f aca="false">I38+J37</f>
        <v>0</v>
      </c>
      <c r="K38" s="79" t="n">
        <f aca="false">J38+K37</f>
        <v>0</v>
      </c>
      <c r="L38" s="79" t="n">
        <f aca="false">K38+L37</f>
        <v>0</v>
      </c>
      <c r="M38" s="79" t="n">
        <f aca="false">L38+M37</f>
        <v>0</v>
      </c>
      <c r="N38" s="79" t="n">
        <f aca="false">M38+N37</f>
        <v>0</v>
      </c>
      <c r="O38" s="79" t="n">
        <f aca="false">N38+O37</f>
        <v>0</v>
      </c>
      <c r="P38" s="79" t="n">
        <f aca="false">O38+P37</f>
        <v>0</v>
      </c>
      <c r="Q38" s="79" t="n">
        <f aca="false">P38+Q37</f>
        <v>0</v>
      </c>
      <c r="R38" s="79" t="n">
        <f aca="false">Q38+R37</f>
        <v>0</v>
      </c>
      <c r="S38" s="79" t="n">
        <f aca="false">R38+S37</f>
        <v>0</v>
      </c>
      <c r="T38" s="79" t="n">
        <f aca="false">S38+T37</f>
        <v>0</v>
      </c>
      <c r="U38" s="79" t="n">
        <f aca="false">T38+U37</f>
        <v>0</v>
      </c>
      <c r="V38" s="79" t="n">
        <f aca="false">U38+V37</f>
        <v>0</v>
      </c>
      <c r="W38" s="79" t="n">
        <f aca="false">V38+W37</f>
        <v>0</v>
      </c>
      <c r="X38" s="79" t="n">
        <f aca="false">W38+X37</f>
        <v>0</v>
      </c>
      <c r="Y38" s="79" t="n">
        <f aca="false">X38+Y37</f>
        <v>0</v>
      </c>
      <c r="Z38" s="79" t="n">
        <f aca="false">Y38+Z37</f>
        <v>0</v>
      </c>
      <c r="AA38" s="79" t="n">
        <f aca="false">Z38+AA37</f>
        <v>0</v>
      </c>
      <c r="AB38" s="79" t="n">
        <f aca="false">AA38+AB37</f>
        <v>0</v>
      </c>
      <c r="AC38" s="79" t="n">
        <f aca="false">AB38+AC37</f>
        <v>231</v>
      </c>
      <c r="AD38" s="79" t="n">
        <f aca="false">AC38+AD37</f>
        <v>231</v>
      </c>
      <c r="AE38" s="79" t="n">
        <f aca="false">AD38+AE37</f>
        <v>231</v>
      </c>
      <c r="AF38" s="79" t="n">
        <f aca="false">AE38+AF37</f>
        <v>231</v>
      </c>
      <c r="AG38" s="79" t="n">
        <f aca="false">AF38+AG37</f>
        <v>231</v>
      </c>
      <c r="AH38" s="79" t="n">
        <f aca="false">AG38+AH37</f>
        <v>231</v>
      </c>
      <c r="AI38" s="79" t="n">
        <f aca="false">AH38+AI37</f>
        <v>462</v>
      </c>
      <c r="AJ38" s="79" t="n">
        <f aca="false">AI38+AJ37</f>
        <v>462</v>
      </c>
      <c r="AK38" s="79" t="n">
        <f aca="false">AJ38+AK37</f>
        <v>462</v>
      </c>
      <c r="AL38" s="79" t="n">
        <f aca="false">AK38+AL37</f>
        <v>462</v>
      </c>
      <c r="AM38" s="79" t="n">
        <f aca="false">AL38+AM37</f>
        <v>462</v>
      </c>
      <c r="AN38" s="79" t="n">
        <f aca="false">AM38+AN37</f>
        <v>462</v>
      </c>
      <c r="AO38" s="79" t="n">
        <f aca="false">AN38+AO37</f>
        <v>874</v>
      </c>
      <c r="AP38" s="79" t="n">
        <f aca="false">AO38+AP37</f>
        <v>874</v>
      </c>
      <c r="AQ38" s="79" t="n">
        <f aca="false">AP38+AQ37</f>
        <v>874</v>
      </c>
      <c r="AR38" s="79" t="n">
        <f aca="false">AQ38+AR37</f>
        <v>874</v>
      </c>
      <c r="AS38" s="79" t="n">
        <f aca="false">AR38+AS37</f>
        <v>874</v>
      </c>
      <c r="AT38" s="79" t="n">
        <f aca="false">AS38+AT37</f>
        <v>874</v>
      </c>
      <c r="AU38" s="79" t="n">
        <f aca="false">AT38+AU37</f>
        <v>1286</v>
      </c>
      <c r="AV38" s="79" t="n">
        <f aca="false">AU38+AV37</f>
        <v>1286</v>
      </c>
      <c r="AW38" s="79" t="n">
        <f aca="false">AV38+AW37</f>
        <v>1286</v>
      </c>
      <c r="AX38" s="79" t="n">
        <f aca="false">AW38+AX37</f>
        <v>1286</v>
      </c>
      <c r="AY38" s="79" t="n">
        <f aca="false">AX38+AY37</f>
        <v>1286</v>
      </c>
      <c r="AZ38" s="79" t="n">
        <f aca="false">AY38+AZ37</f>
        <v>1286</v>
      </c>
      <c r="BA38" s="79" t="n">
        <f aca="false">AZ38+BA37</f>
        <v>1641</v>
      </c>
      <c r="BB38" s="79" t="n">
        <f aca="false">BA38+BB37</f>
        <v>1641</v>
      </c>
      <c r="BC38" s="79" t="n">
        <f aca="false">BB38+BC37</f>
        <v>1641</v>
      </c>
      <c r="BD38" s="79" t="n">
        <f aca="false">BC38+BD37</f>
        <v>1641</v>
      </c>
      <c r="BE38" s="79" t="n">
        <f aca="false">BD38+BE37</f>
        <v>1641</v>
      </c>
      <c r="BF38" s="79" t="n">
        <f aca="false">BE38+BF37</f>
        <v>1641</v>
      </c>
      <c r="BG38" s="79" t="n">
        <f aca="false">BF38+BG37</f>
        <v>1997</v>
      </c>
      <c r="BH38" s="79" t="n">
        <f aca="false">BG38+BH37</f>
        <v>1997</v>
      </c>
      <c r="BI38" s="79" t="n">
        <f aca="false">BH38+BI37</f>
        <v>1997</v>
      </c>
      <c r="BJ38" s="79" t="n">
        <f aca="false">BI38+BJ37</f>
        <v>1997</v>
      </c>
      <c r="BK38" s="79" t="n">
        <f aca="false">BJ38+BK37</f>
        <v>1997</v>
      </c>
      <c r="BL38" s="79" t="n">
        <f aca="false">BK38+BL37</f>
        <v>1997</v>
      </c>
      <c r="BM38" s="79" t="n">
        <f aca="false">BL38+BM37</f>
        <v>2461</v>
      </c>
      <c r="BN38" s="79" t="n">
        <f aca="false">BM38+BN37</f>
        <v>2461</v>
      </c>
      <c r="BO38" s="79" t="n">
        <f aca="false">BN38+BO37</f>
        <v>2461</v>
      </c>
      <c r="BP38" s="79" t="n">
        <f aca="false">BO38+BP37</f>
        <v>2461</v>
      </c>
      <c r="BQ38" s="79" t="n">
        <f aca="false">BP38+BQ37</f>
        <v>2461</v>
      </c>
      <c r="BR38" s="79" t="n">
        <f aca="false">BQ38+BR37</f>
        <v>2461</v>
      </c>
      <c r="BS38" s="79" t="n">
        <f aca="false">BR38+BS37</f>
        <v>2925</v>
      </c>
      <c r="BT38" s="79" t="n">
        <f aca="false">BS38+BT37</f>
        <v>2925</v>
      </c>
      <c r="BU38" s="79" t="n">
        <f aca="false">BT38+BU37</f>
        <v>2925</v>
      </c>
      <c r="BV38" s="79" t="n">
        <f aca="false">BU38+BV37</f>
        <v>2925</v>
      </c>
      <c r="BW38" s="79" t="n">
        <f aca="false">BV38+BW37</f>
        <v>2925</v>
      </c>
      <c r="BX38" s="79" t="n">
        <f aca="false">BW38+BX37</f>
        <v>2925</v>
      </c>
      <c r="BY38" s="79" t="n">
        <f aca="false">BX38+BY37</f>
        <v>3389</v>
      </c>
      <c r="BZ38" s="79" t="n">
        <f aca="false">BY38+BZ37</f>
        <v>3389</v>
      </c>
      <c r="CA38" s="79" t="n">
        <f aca="false">BZ38+CA37</f>
        <v>3389</v>
      </c>
      <c r="CB38" s="79" t="n">
        <f aca="false">CA38+CB37</f>
        <v>3389</v>
      </c>
      <c r="CC38" s="79" t="n">
        <f aca="false">CB38+CC37</f>
        <v>3389</v>
      </c>
      <c r="CD38" s="79" t="n">
        <f aca="false">CC38+CD37</f>
        <v>3389</v>
      </c>
      <c r="CE38" s="79" t="n">
        <f aca="false">CD38+CE37</f>
        <v>3853</v>
      </c>
      <c r="CF38" s="79" t="n">
        <f aca="false">CE38+CF37</f>
        <v>3853</v>
      </c>
      <c r="CG38" s="79" t="n">
        <f aca="false">CF38+CG37</f>
        <v>3853</v>
      </c>
      <c r="CH38" s="79" t="n">
        <f aca="false">CG38+CH37</f>
        <v>3853</v>
      </c>
      <c r="CI38" s="79" t="n">
        <f aca="false">CH38+CI37</f>
        <v>3853</v>
      </c>
      <c r="CJ38" s="79" t="n">
        <f aca="false">CI38+CJ37</f>
        <v>3853</v>
      </c>
      <c r="CK38" s="79" t="n">
        <f aca="false">CJ38+CK37</f>
        <v>4317</v>
      </c>
      <c r="CL38" s="79" t="n">
        <f aca="false">CK38+CL37</f>
        <v>4317</v>
      </c>
      <c r="CM38" s="79" t="n">
        <f aca="false">CL38+CM37</f>
        <v>4317</v>
      </c>
      <c r="CN38" s="79" t="n">
        <f aca="false">CM38+CN37</f>
        <v>4317</v>
      </c>
      <c r="CO38" s="79" t="n">
        <f aca="false">CN38+CO37</f>
        <v>4317</v>
      </c>
      <c r="CP38" s="79" t="n">
        <f aca="false">CO38+CP37</f>
        <v>4317</v>
      </c>
      <c r="CQ38" s="79" t="n">
        <f aca="false">CP38+CQ37</f>
        <v>4781</v>
      </c>
      <c r="CR38" s="79" t="n">
        <f aca="false">CQ38+CR37</f>
        <v>4781</v>
      </c>
      <c r="CS38" s="79" t="n">
        <f aca="false">CR38+CS37</f>
        <v>4781</v>
      </c>
      <c r="CT38" s="79" t="n">
        <f aca="false">CS38+CT37</f>
        <v>4781</v>
      </c>
    </row>
    <row r="39" customFormat="false" ht="15" hidden="false" customHeight="false" outlineLevel="0" collapsed="false">
      <c r="A39" s="2"/>
      <c r="B39" s="19" t="s">
        <v>715</v>
      </c>
      <c r="C39" s="78" t="n">
        <f aca="true">IF(1&gt;=13,SUM(OFFSET(C36,0,-MIN(17,1-1),1,MIN(6,1-12))),0)</f>
        <v>0</v>
      </c>
      <c r="D39" s="78" t="n">
        <f aca="true">IF(2&gt;=13,SUM(OFFSET(D36,0,-MIN(17,2-1),1,MIN(6,2-12))),0)</f>
        <v>0</v>
      </c>
      <c r="E39" s="78" t="n">
        <f aca="true">IF(3&gt;=13,SUM(OFFSET(E36,0,-MIN(17,3-1),1,MIN(6,3-12))),0)</f>
        <v>0</v>
      </c>
      <c r="F39" s="78" t="n">
        <f aca="true">IF(4&gt;=13,SUM(OFFSET(F36,0,-MIN(17,4-1),1,MIN(6,4-12))),0)</f>
        <v>0</v>
      </c>
      <c r="G39" s="78" t="n">
        <f aca="true">IF(5&gt;=13,SUM(OFFSET(G36,0,-MIN(17,5-1),1,MIN(6,5-12))),0)</f>
        <v>0</v>
      </c>
      <c r="H39" s="78" t="n">
        <f aca="true">IF(6&gt;=13,SUM(OFFSET(H36,0,-MIN(17,6-1),1,MIN(6,6-12))),0)</f>
        <v>0</v>
      </c>
      <c r="I39" s="78" t="n">
        <f aca="true">IF(7&gt;=13,SUM(OFFSET(I36,0,-MIN(17,7-1),1,MIN(6,7-12))),0)</f>
        <v>0</v>
      </c>
      <c r="J39" s="78" t="n">
        <f aca="true">IF(8&gt;=13,SUM(OFFSET(J36,0,-MIN(17,8-1),1,MIN(6,8-12))),0)</f>
        <v>0</v>
      </c>
      <c r="K39" s="78" t="n">
        <f aca="true">IF(9&gt;=13,SUM(OFFSET(K36,0,-MIN(17,9-1),1,MIN(6,9-12))),0)</f>
        <v>0</v>
      </c>
      <c r="L39" s="78" t="n">
        <f aca="true">IF(10&gt;=13,SUM(OFFSET(L36,0,-MIN(17,10-1),1,MIN(6,10-12))),0)</f>
        <v>0</v>
      </c>
      <c r="M39" s="78" t="n">
        <f aca="true">IF(11&gt;=13,SUM(OFFSET(M36,0,-MIN(17,11-1),1,MIN(6,11-12))),0)</f>
        <v>0</v>
      </c>
      <c r="N39" s="78" t="n">
        <f aca="true">IF(12&gt;=13,SUM(OFFSET(N36,0,-MIN(17,12-1),1,MIN(6,12-12))),0)</f>
        <v>0</v>
      </c>
      <c r="O39" s="78" t="n">
        <f aca="true">IF(13&gt;=13,SUM(OFFSET(O36,0,-MIN(17,13-1),1,MIN(6,13-12))),0)</f>
        <v>0</v>
      </c>
      <c r="P39" s="78" t="n">
        <f aca="true">IF(14&gt;=13,SUM(OFFSET(P36,0,-MIN(17,14-1),1,MIN(6,14-12))),0)</f>
        <v>0</v>
      </c>
      <c r="Q39" s="78" t="n">
        <f aca="true">IF(15&gt;=13,SUM(OFFSET(Q36,0,-MIN(17,15-1),1,MIN(6,15-12))),0)</f>
        <v>231</v>
      </c>
      <c r="R39" s="78" t="n">
        <f aca="true">IF(16&gt;=13,SUM(OFFSET(R36,0,-MIN(17,16-1),1,MIN(6,16-12))),0)</f>
        <v>231</v>
      </c>
      <c r="S39" s="78" t="n">
        <f aca="true">IF(17&gt;=13,SUM(OFFSET(S36,0,-MIN(17,17-1),1,MIN(6,17-12))),0)</f>
        <v>231</v>
      </c>
      <c r="T39" s="78" t="n">
        <f aca="true">IF(18&gt;=13,SUM(OFFSET(T36,0,-MIN(17,18-1),1,MIN(6,18-12))),0)</f>
        <v>231</v>
      </c>
      <c r="U39" s="78" t="n">
        <f aca="true">IF(19&gt;=13,SUM(OFFSET(U36,0,-MIN(17,19-1),1,MIN(6,19-12))),0)</f>
        <v>231</v>
      </c>
      <c r="V39" s="78" t="n">
        <f aca="true">IF(20&gt;=13,SUM(OFFSET(V36,0,-MIN(17,20-1),1,MIN(6,20-12))),0)</f>
        <v>231</v>
      </c>
      <c r="W39" s="78" t="n">
        <f aca="true">IF(21&gt;=13,SUM(OFFSET(W36,0,-MIN(17,21-1),1,MIN(6,21-12))),0)</f>
        <v>231</v>
      </c>
      <c r="X39" s="78" t="n">
        <f aca="true">IF(22&gt;=13,SUM(OFFSET(X36,0,-MIN(17,22-1),1,MIN(6,22-12))),0)</f>
        <v>231</v>
      </c>
      <c r="Y39" s="78" t="n">
        <f aca="true">IF(23&gt;=13,SUM(OFFSET(Y36,0,-MIN(17,23-1),1,MIN(6,23-12))),0)</f>
        <v>231</v>
      </c>
      <c r="Z39" s="78" t="n">
        <f aca="true">IF(24&gt;=13,SUM(OFFSET(Z36,0,-MIN(17,24-1),1,MIN(6,24-12))),0)</f>
        <v>231</v>
      </c>
      <c r="AA39" s="78" t="n">
        <f aca="true">IF(25&gt;=13,SUM(OFFSET(AA36,0,-MIN(17,25-1),1,MIN(6,25-12))),0)</f>
        <v>231</v>
      </c>
      <c r="AB39" s="78" t="n">
        <f aca="true">IF(26&gt;=13,SUM(OFFSET(AB36,0,-MIN(17,26-1),1,MIN(6,26-12))),0)</f>
        <v>231</v>
      </c>
      <c r="AC39" s="78" t="n">
        <f aca="true">IF(27&gt;=13,SUM(OFFSET(AC36,0,-MIN(17,27-1),1,MIN(6,27-12))),0)</f>
        <v>412</v>
      </c>
      <c r="AD39" s="78" t="n">
        <f aca="true">IF(28&gt;=13,SUM(OFFSET(AD36,0,-MIN(17,28-1),1,MIN(6,28-12))),0)</f>
        <v>412</v>
      </c>
      <c r="AE39" s="78" t="n">
        <f aca="true">IF(29&gt;=13,SUM(OFFSET(AE36,0,-MIN(17,29-1),1,MIN(6,29-12))),0)</f>
        <v>412</v>
      </c>
      <c r="AF39" s="78" t="n">
        <f aca="true">IF(30&gt;=13,SUM(OFFSET(AF36,0,-MIN(17,30-1),1,MIN(6,30-12))),0)</f>
        <v>412</v>
      </c>
      <c r="AG39" s="78" t="n">
        <f aca="true">IF(31&gt;=13,SUM(OFFSET(AG36,0,-MIN(17,31-1),1,MIN(6,31-12))),0)</f>
        <v>412</v>
      </c>
      <c r="AH39" s="78" t="n">
        <f aca="true">IF(32&gt;=13,SUM(OFFSET(AH36,0,-MIN(17,32-1),1,MIN(6,32-12))),0)</f>
        <v>412</v>
      </c>
      <c r="AI39" s="78" t="n">
        <f aca="true">IF(33&gt;=13,SUM(OFFSET(AI36,0,-MIN(17,33-1),1,MIN(6,33-12))),0)</f>
        <v>412</v>
      </c>
      <c r="AJ39" s="78" t="n">
        <f aca="true">IF(34&gt;=13,SUM(OFFSET(AJ36,0,-MIN(17,34-1),1,MIN(6,34-12))),0)</f>
        <v>412</v>
      </c>
      <c r="AK39" s="78" t="n">
        <f aca="true">IF(35&gt;=13,SUM(OFFSET(AK36,0,-MIN(17,35-1),1,MIN(6,35-12))),0)</f>
        <v>412</v>
      </c>
      <c r="AL39" s="78" t="n">
        <f aca="true">IF(36&gt;=13,SUM(OFFSET(AL36,0,-MIN(17,36-1),1,MIN(6,36-12))),0)</f>
        <v>412</v>
      </c>
      <c r="AM39" s="78" t="n">
        <f aca="true">IF(37&gt;=13,SUM(OFFSET(AM36,0,-MIN(17,37-1),1,MIN(6,37-12))),0)</f>
        <v>412</v>
      </c>
      <c r="AN39" s="78" t="n">
        <f aca="true">IF(38&gt;=13,SUM(OFFSET(AN36,0,-MIN(17,38-1),1,MIN(6,38-12))),0)</f>
        <v>412</v>
      </c>
      <c r="AO39" s="78" t="n">
        <f aca="true">IF(39&gt;=13,SUM(OFFSET(AO36,0,-MIN(17,39-1),1,MIN(6,39-12))),0)</f>
        <v>355</v>
      </c>
      <c r="AP39" s="78" t="n">
        <f aca="true">IF(40&gt;=13,SUM(OFFSET(AP36,0,-MIN(17,40-1),1,MIN(6,40-12))),0)</f>
        <v>355</v>
      </c>
      <c r="AQ39" s="78" t="n">
        <f aca="true">IF(41&gt;=13,SUM(OFFSET(AQ36,0,-MIN(17,41-1),1,MIN(6,41-12))),0)</f>
        <v>355</v>
      </c>
      <c r="AR39" s="78" t="n">
        <f aca="true">IF(42&gt;=13,SUM(OFFSET(AR36,0,-MIN(17,42-1),1,MIN(6,42-12))),0)</f>
        <v>355</v>
      </c>
      <c r="AS39" s="78" t="n">
        <f aca="true">IF(43&gt;=13,SUM(OFFSET(AS36,0,-MIN(17,43-1),1,MIN(6,43-12))),0)</f>
        <v>355</v>
      </c>
      <c r="AT39" s="78" t="n">
        <f aca="true">IF(44&gt;=13,SUM(OFFSET(AT36,0,-MIN(17,44-1),1,MIN(6,44-12))),0)</f>
        <v>355</v>
      </c>
      <c r="AU39" s="78" t="n">
        <f aca="true">IF(45&gt;=13,SUM(OFFSET(AU36,0,-MIN(17,45-1),1,MIN(6,45-12))),0)</f>
        <v>356</v>
      </c>
      <c r="AV39" s="78" t="n">
        <f aca="true">IF(46&gt;=13,SUM(OFFSET(AV36,0,-MIN(17,46-1),1,MIN(6,46-12))),0)</f>
        <v>356</v>
      </c>
      <c r="AW39" s="78" t="n">
        <f aca="true">IF(47&gt;=13,SUM(OFFSET(AW36,0,-MIN(17,47-1),1,MIN(6,47-12))),0)</f>
        <v>356</v>
      </c>
      <c r="AX39" s="78" t="n">
        <f aca="true">IF(48&gt;=13,SUM(OFFSET(AX36,0,-MIN(17,48-1),1,MIN(6,48-12))),0)</f>
        <v>356</v>
      </c>
      <c r="AY39" s="78" t="n">
        <f aca="true">IF(49&gt;=13,SUM(OFFSET(AY36,0,-MIN(17,49-1),1,MIN(6,49-12))),0)</f>
        <v>356</v>
      </c>
      <c r="AZ39" s="78" t="n">
        <f aca="true">IF(50&gt;=13,SUM(OFFSET(AZ36,0,-MIN(17,50-1),1,MIN(6,50-12))),0)</f>
        <v>356</v>
      </c>
      <c r="BA39" s="78" t="n">
        <f aca="true">IF(51&gt;=13,SUM(OFFSET(BA36,0,-MIN(17,51-1),1,MIN(6,51-12))),0)</f>
        <v>464</v>
      </c>
      <c r="BB39" s="78" t="n">
        <f aca="true">IF(52&gt;=13,SUM(OFFSET(BB36,0,-MIN(17,52-1),1,MIN(6,52-12))),0)</f>
        <v>464</v>
      </c>
      <c r="BC39" s="78" t="n">
        <f aca="true">IF(53&gt;=13,SUM(OFFSET(BC36,0,-MIN(17,53-1),1,MIN(6,53-12))),0)</f>
        <v>464</v>
      </c>
      <c r="BD39" s="78" t="n">
        <f aca="true">IF(54&gt;=13,SUM(OFFSET(BD36,0,-MIN(17,54-1),1,MIN(6,54-12))),0)</f>
        <v>464</v>
      </c>
      <c r="BE39" s="78" t="n">
        <f aca="true">IF(55&gt;=13,SUM(OFFSET(BE36,0,-MIN(17,55-1),1,MIN(6,55-12))),0)</f>
        <v>464</v>
      </c>
      <c r="BF39" s="78" t="n">
        <f aca="true">IF(56&gt;=13,SUM(OFFSET(BF36,0,-MIN(17,56-1),1,MIN(6,56-12))),0)</f>
        <v>464</v>
      </c>
      <c r="BG39" s="78" t="n">
        <f aca="true">IF(57&gt;=13,SUM(OFFSET(BG36,0,-MIN(17,57-1),1,MIN(6,57-12))),0)</f>
        <v>464</v>
      </c>
      <c r="BH39" s="78" t="n">
        <f aca="true">IF(58&gt;=13,SUM(OFFSET(BH36,0,-MIN(17,58-1),1,MIN(6,58-12))),0)</f>
        <v>464</v>
      </c>
      <c r="BI39" s="78" t="n">
        <f aca="true">IF(59&gt;=13,SUM(OFFSET(BI36,0,-MIN(17,59-1),1,MIN(6,59-12))),0)</f>
        <v>464</v>
      </c>
      <c r="BJ39" s="78" t="n">
        <f aca="true">IF(60&gt;=13,SUM(OFFSET(BJ36,0,-MIN(17,60-1),1,MIN(6,60-12))),0)</f>
        <v>464</v>
      </c>
      <c r="BK39" s="78" t="n">
        <f aca="true">IF(61&gt;=13,SUM(OFFSET(BK36,0,-MIN(17,61-1),1,MIN(6,61-12))),0)</f>
        <v>464</v>
      </c>
      <c r="BL39" s="78" t="n">
        <f aca="true">IF(62&gt;=13,SUM(OFFSET(BL36,0,-MIN(17,62-1),1,MIN(6,62-12))),0)</f>
        <v>464</v>
      </c>
      <c r="BM39" s="78" t="n">
        <f aca="true">IF(63&gt;=13,SUM(OFFSET(BM36,0,-MIN(17,63-1),1,MIN(6,63-12))),0)</f>
        <v>464</v>
      </c>
      <c r="BN39" s="78" t="n">
        <f aca="true">IF(64&gt;=13,SUM(OFFSET(BN36,0,-MIN(17,64-1),1,MIN(6,64-12))),0)</f>
        <v>464</v>
      </c>
      <c r="BO39" s="78" t="n">
        <f aca="true">IF(65&gt;=13,SUM(OFFSET(BO36,0,-MIN(17,65-1),1,MIN(6,65-12))),0)</f>
        <v>464</v>
      </c>
      <c r="BP39" s="78" t="n">
        <f aca="true">IF(66&gt;=13,SUM(OFFSET(BP36,0,-MIN(17,66-1),1,MIN(6,66-12))),0)</f>
        <v>464</v>
      </c>
      <c r="BQ39" s="78" t="n">
        <f aca="true">IF(67&gt;=13,SUM(OFFSET(BQ36,0,-MIN(17,67-1),1,MIN(6,67-12))),0)</f>
        <v>464</v>
      </c>
      <c r="BR39" s="78" t="n">
        <f aca="true">IF(68&gt;=13,SUM(OFFSET(BR36,0,-MIN(17,68-1),1,MIN(6,68-12))),0)</f>
        <v>464</v>
      </c>
      <c r="BS39" s="78" t="n">
        <f aca="true">IF(69&gt;=13,SUM(OFFSET(BS36,0,-MIN(17,69-1),1,MIN(6,69-12))),0)</f>
        <v>464</v>
      </c>
      <c r="BT39" s="78" t="n">
        <f aca="true">IF(70&gt;=13,SUM(OFFSET(BT36,0,-MIN(17,70-1),1,MIN(6,70-12))),0)</f>
        <v>464</v>
      </c>
      <c r="BU39" s="78" t="n">
        <f aca="true">IF(71&gt;=13,SUM(OFFSET(BU36,0,-MIN(17,71-1),1,MIN(6,71-12))),0)</f>
        <v>464</v>
      </c>
      <c r="BV39" s="78" t="n">
        <f aca="true">IF(72&gt;=13,SUM(OFFSET(BV36,0,-MIN(17,72-1),1,MIN(6,72-12))),0)</f>
        <v>464</v>
      </c>
      <c r="BW39" s="78" t="n">
        <f aca="true">IF(73&gt;=13,SUM(OFFSET(BW36,0,-MIN(17,73-1),1,MIN(6,73-12))),0)</f>
        <v>464</v>
      </c>
      <c r="BX39" s="78" t="n">
        <f aca="true">IF(74&gt;=13,SUM(OFFSET(BX36,0,-MIN(17,74-1),1,MIN(6,74-12))),0)</f>
        <v>464</v>
      </c>
      <c r="BY39" s="78" t="n">
        <f aca="true">IF(75&gt;=13,SUM(OFFSET(BY36,0,-MIN(17,75-1),1,MIN(6,75-12))),0)</f>
        <v>464</v>
      </c>
      <c r="BZ39" s="78" t="n">
        <f aca="true">IF(76&gt;=13,SUM(OFFSET(BZ36,0,-MIN(17,76-1),1,MIN(6,76-12))),0)</f>
        <v>464</v>
      </c>
      <c r="CA39" s="78" t="n">
        <f aca="true">IF(77&gt;=13,SUM(OFFSET(CA36,0,-MIN(17,77-1),1,MIN(6,77-12))),0)</f>
        <v>464</v>
      </c>
      <c r="CB39" s="78" t="n">
        <f aca="true">IF(78&gt;=13,SUM(OFFSET(CB36,0,-MIN(17,78-1),1,MIN(6,78-12))),0)</f>
        <v>464</v>
      </c>
      <c r="CC39" s="78" t="n">
        <f aca="true">IF(79&gt;=13,SUM(OFFSET(CC36,0,-MIN(17,79-1),1,MIN(6,79-12))),0)</f>
        <v>464</v>
      </c>
      <c r="CD39" s="78" t="n">
        <f aca="true">IF(80&gt;=13,SUM(OFFSET(CD36,0,-MIN(17,80-1),1,MIN(6,80-12))),0)</f>
        <v>464</v>
      </c>
      <c r="CE39" s="78" t="n">
        <f aca="true">IF(81&gt;=13,SUM(OFFSET(CE36,0,-MIN(17,81-1),1,MIN(6,81-12))),0)</f>
        <v>464</v>
      </c>
      <c r="CF39" s="78" t="n">
        <f aca="true">IF(82&gt;=13,SUM(OFFSET(CF36,0,-MIN(17,82-1),1,MIN(6,82-12))),0)</f>
        <v>464</v>
      </c>
      <c r="CG39" s="78" t="n">
        <f aca="true">IF(83&gt;=13,SUM(OFFSET(CG36,0,-MIN(17,83-1),1,MIN(6,83-12))),0)</f>
        <v>464</v>
      </c>
      <c r="CH39" s="78" t="n">
        <f aca="true">IF(84&gt;=13,SUM(OFFSET(CH36,0,-MIN(17,84-1),1,MIN(6,84-12))),0)</f>
        <v>464</v>
      </c>
      <c r="CI39" s="78" t="n">
        <f aca="true">IF(85&gt;=13,SUM(OFFSET(CI36,0,-MIN(17,85-1),1,MIN(6,85-12))),0)</f>
        <v>464</v>
      </c>
      <c r="CJ39" s="78" t="n">
        <f aca="true">IF(86&gt;=13,SUM(OFFSET(CJ36,0,-MIN(17,86-1),1,MIN(6,86-12))),0)</f>
        <v>464</v>
      </c>
      <c r="CK39" s="78" t="n">
        <f aca="true">IF(87&gt;=13,SUM(OFFSET(CK36,0,-MIN(17,87-1),1,MIN(6,87-12))),0)</f>
        <v>464</v>
      </c>
      <c r="CL39" s="78" t="n">
        <f aca="true">IF(88&gt;=13,SUM(OFFSET(CL36,0,-MIN(17,88-1),1,MIN(6,88-12))),0)</f>
        <v>464</v>
      </c>
      <c r="CM39" s="78" t="n">
        <f aca="true">IF(89&gt;=13,SUM(OFFSET(CM36,0,-MIN(17,89-1),1,MIN(6,89-12))),0)</f>
        <v>464</v>
      </c>
      <c r="CN39" s="78" t="n">
        <f aca="true">IF(90&gt;=13,SUM(OFFSET(CN36,0,-MIN(17,90-1),1,MIN(6,90-12))),0)</f>
        <v>464</v>
      </c>
      <c r="CO39" s="78" t="n">
        <f aca="true">IF(91&gt;=13,SUM(OFFSET(CO36,0,-MIN(17,91-1),1,MIN(6,91-12))),0)</f>
        <v>464</v>
      </c>
      <c r="CP39" s="78" t="n">
        <f aca="true">IF(92&gt;=13,SUM(OFFSET(CP36,0,-MIN(17,92-1),1,MIN(6,92-12))),0)</f>
        <v>464</v>
      </c>
      <c r="CQ39" s="78" t="n">
        <f aca="true">IF(93&gt;=13,SUM(OFFSET(CQ36,0,-MIN(17,93-1),1,MIN(6,93-12))),0)</f>
        <v>464</v>
      </c>
      <c r="CR39" s="78" t="n">
        <f aca="true">IF(94&gt;=13,SUM(OFFSET(CR36,0,-MIN(17,94-1),1,MIN(6,94-12))),0)</f>
        <v>464</v>
      </c>
      <c r="CS39" s="78" t="n">
        <f aca="true">IF(95&gt;=13,SUM(OFFSET(CS36,0,-MIN(17,95-1),1,MIN(6,95-12))),0)</f>
        <v>464</v>
      </c>
      <c r="CT39" s="78" t="n">
        <f aca="true">IF(96&gt;=13,SUM(OFFSET(CT36,0,-MIN(17,96-1),1,MIN(6,96-12))),0)</f>
        <v>464</v>
      </c>
    </row>
    <row r="40" customFormat="false" ht="27" hidden="false" customHeight="true" outlineLevel="0" collapsed="false">
      <c r="A40" s="2"/>
      <c r="B40" s="14" t="s">
        <v>716</v>
      </c>
      <c r="C40" s="78" t="n">
        <f aca="true">IF(1&gt;=19,SUM(OFFSET(C36,0,-MIN(23,1-1),1,MIN(6,1-18))),0)</f>
        <v>0</v>
      </c>
      <c r="D40" s="78" t="n">
        <f aca="true">IF(2&gt;=19,SUM(OFFSET(D36,0,-MIN(23,2-1),1,MIN(6,2-18))),0)</f>
        <v>0</v>
      </c>
      <c r="E40" s="78" t="n">
        <f aca="true">IF(3&gt;=19,SUM(OFFSET(E36,0,-MIN(23,3-1),1,MIN(6,3-18))),0)</f>
        <v>0</v>
      </c>
      <c r="F40" s="78" t="n">
        <f aca="true">IF(4&gt;=19,SUM(OFFSET(F36,0,-MIN(23,4-1),1,MIN(6,4-18))),0)</f>
        <v>0</v>
      </c>
      <c r="G40" s="78" t="n">
        <f aca="true">IF(5&gt;=19,SUM(OFFSET(G36,0,-MIN(23,5-1),1,MIN(6,5-18))),0)</f>
        <v>0</v>
      </c>
      <c r="H40" s="78" t="n">
        <f aca="true">IF(6&gt;=19,SUM(OFFSET(H36,0,-MIN(23,6-1),1,MIN(6,6-18))),0)</f>
        <v>0</v>
      </c>
      <c r="I40" s="78" t="n">
        <f aca="true">IF(7&gt;=19,SUM(OFFSET(I36,0,-MIN(23,7-1),1,MIN(6,7-18))),0)</f>
        <v>0</v>
      </c>
      <c r="J40" s="78" t="n">
        <f aca="true">IF(8&gt;=19,SUM(OFFSET(J36,0,-MIN(23,8-1),1,MIN(6,8-18))),0)</f>
        <v>0</v>
      </c>
      <c r="K40" s="78" t="n">
        <f aca="true">IF(9&gt;=19,SUM(OFFSET(K36,0,-MIN(23,9-1),1,MIN(6,9-18))),0)</f>
        <v>0</v>
      </c>
      <c r="L40" s="78" t="n">
        <f aca="true">IF(10&gt;=19,SUM(OFFSET(L36,0,-MIN(23,10-1),1,MIN(6,10-18))),0)</f>
        <v>0</v>
      </c>
      <c r="M40" s="78" t="n">
        <f aca="true">IF(11&gt;=19,SUM(OFFSET(M36,0,-MIN(23,11-1),1,MIN(6,11-18))),0)</f>
        <v>0</v>
      </c>
      <c r="N40" s="78" t="n">
        <f aca="true">IF(12&gt;=19,SUM(OFFSET(N36,0,-MIN(23,12-1),1,MIN(6,12-18))),0)</f>
        <v>0</v>
      </c>
      <c r="O40" s="78" t="n">
        <f aca="true">IF(13&gt;=19,SUM(OFFSET(O36,0,-MIN(23,13-1),1,MIN(6,13-18))),0)</f>
        <v>0</v>
      </c>
      <c r="P40" s="78" t="n">
        <f aca="true">IF(14&gt;=19,SUM(OFFSET(P36,0,-MIN(23,14-1),1,MIN(6,14-18))),0)</f>
        <v>0</v>
      </c>
      <c r="Q40" s="78" t="n">
        <f aca="true">IF(15&gt;=19,SUM(OFFSET(Q36,0,-MIN(23,15-1),1,MIN(6,15-18))),0)</f>
        <v>0</v>
      </c>
      <c r="R40" s="78" t="n">
        <f aca="true">IF(16&gt;=19,SUM(OFFSET(R36,0,-MIN(23,16-1),1,MIN(6,16-18))),0)</f>
        <v>0</v>
      </c>
      <c r="S40" s="78" t="n">
        <f aca="true">IF(17&gt;=19,SUM(OFFSET(S36,0,-MIN(23,17-1),1,MIN(6,17-18))),0)</f>
        <v>0</v>
      </c>
      <c r="T40" s="78" t="n">
        <f aca="true">IF(18&gt;=19,SUM(OFFSET(T36,0,-MIN(23,18-1),1,MIN(6,18-18))),0)</f>
        <v>0</v>
      </c>
      <c r="U40" s="78" t="n">
        <f aca="true">IF(19&gt;=19,SUM(OFFSET(U36,0,-MIN(23,19-1),1,MIN(6,19-18))),0)</f>
        <v>0</v>
      </c>
      <c r="V40" s="78" t="n">
        <f aca="true">IF(20&gt;=19,SUM(OFFSET(V36,0,-MIN(23,20-1),1,MIN(6,20-18))),0)</f>
        <v>0</v>
      </c>
      <c r="W40" s="78" t="n">
        <f aca="true">IF(21&gt;=19,SUM(OFFSET(W36,0,-MIN(23,21-1),1,MIN(6,21-18))),0)</f>
        <v>231</v>
      </c>
      <c r="X40" s="78" t="n">
        <f aca="true">IF(22&gt;=19,SUM(OFFSET(X36,0,-MIN(23,22-1),1,MIN(6,22-18))),0)</f>
        <v>231</v>
      </c>
      <c r="Y40" s="78" t="n">
        <f aca="true">IF(23&gt;=19,SUM(OFFSET(Y36,0,-MIN(23,23-1),1,MIN(6,23-18))),0)</f>
        <v>231</v>
      </c>
      <c r="Z40" s="78" t="n">
        <f aca="true">IF(24&gt;=19,SUM(OFFSET(Z36,0,-MIN(23,24-1),1,MIN(6,24-18))),0)</f>
        <v>231</v>
      </c>
      <c r="AA40" s="78" t="n">
        <f aca="true">IF(25&gt;=19,SUM(OFFSET(AA36,0,-MIN(23,25-1),1,MIN(6,25-18))),0)</f>
        <v>231</v>
      </c>
      <c r="AB40" s="78" t="n">
        <f aca="true">IF(26&gt;=19,SUM(OFFSET(AB36,0,-MIN(23,26-1),1,MIN(6,26-18))),0)</f>
        <v>231</v>
      </c>
      <c r="AC40" s="78" t="n">
        <f aca="true">IF(27&gt;=19,SUM(OFFSET(AC36,0,-MIN(23,27-1),1,MIN(6,27-18))),0)</f>
        <v>231</v>
      </c>
      <c r="AD40" s="78" t="n">
        <f aca="true">IF(28&gt;=19,SUM(OFFSET(AD36,0,-MIN(23,28-1),1,MIN(6,28-18))),0)</f>
        <v>231</v>
      </c>
      <c r="AE40" s="78" t="n">
        <f aca="true">IF(29&gt;=19,SUM(OFFSET(AE36,0,-MIN(23,29-1),1,MIN(6,29-18))),0)</f>
        <v>231</v>
      </c>
      <c r="AF40" s="78" t="n">
        <f aca="true">IF(30&gt;=19,SUM(OFFSET(AF36,0,-MIN(23,30-1),1,MIN(6,30-18))),0)</f>
        <v>231</v>
      </c>
      <c r="AG40" s="78" t="n">
        <f aca="true">IF(31&gt;=19,SUM(OFFSET(AG36,0,-MIN(23,31-1),1,MIN(6,31-18))),0)</f>
        <v>231</v>
      </c>
      <c r="AH40" s="78" t="n">
        <f aca="true">IF(32&gt;=19,SUM(OFFSET(AH36,0,-MIN(23,32-1),1,MIN(6,32-18))),0)</f>
        <v>231</v>
      </c>
      <c r="AI40" s="78" t="n">
        <f aca="true">IF(33&gt;=19,SUM(OFFSET(AI36,0,-MIN(23,33-1),1,MIN(6,33-18))),0)</f>
        <v>412</v>
      </c>
      <c r="AJ40" s="78" t="n">
        <f aca="true">IF(34&gt;=19,SUM(OFFSET(AJ36,0,-MIN(23,34-1),1,MIN(6,34-18))),0)</f>
        <v>412</v>
      </c>
      <c r="AK40" s="78" t="n">
        <f aca="true">IF(35&gt;=19,SUM(OFFSET(AK36,0,-MIN(23,35-1),1,MIN(6,35-18))),0)</f>
        <v>412</v>
      </c>
      <c r="AL40" s="78" t="n">
        <f aca="true">IF(36&gt;=19,SUM(OFFSET(AL36,0,-MIN(23,36-1),1,MIN(6,36-18))),0)</f>
        <v>412</v>
      </c>
      <c r="AM40" s="78" t="n">
        <f aca="true">IF(37&gt;=19,SUM(OFFSET(AM36,0,-MIN(23,37-1),1,MIN(6,37-18))),0)</f>
        <v>412</v>
      </c>
      <c r="AN40" s="78" t="n">
        <f aca="true">IF(38&gt;=19,SUM(OFFSET(AN36,0,-MIN(23,38-1),1,MIN(6,38-18))),0)</f>
        <v>412</v>
      </c>
      <c r="AO40" s="78" t="n">
        <f aca="true">IF(39&gt;=19,SUM(OFFSET(AO36,0,-MIN(23,39-1),1,MIN(6,39-18))),0)</f>
        <v>412</v>
      </c>
      <c r="AP40" s="78" t="n">
        <f aca="true">IF(40&gt;=19,SUM(OFFSET(AP36,0,-MIN(23,40-1),1,MIN(6,40-18))),0)</f>
        <v>412</v>
      </c>
      <c r="AQ40" s="78" t="n">
        <f aca="true">IF(41&gt;=19,SUM(OFFSET(AQ36,0,-MIN(23,41-1),1,MIN(6,41-18))),0)</f>
        <v>412</v>
      </c>
      <c r="AR40" s="78" t="n">
        <f aca="true">IF(42&gt;=19,SUM(OFFSET(AR36,0,-MIN(23,42-1),1,MIN(6,42-18))),0)</f>
        <v>412</v>
      </c>
      <c r="AS40" s="78" t="n">
        <f aca="true">IF(43&gt;=19,SUM(OFFSET(AS36,0,-MIN(23,43-1),1,MIN(6,43-18))),0)</f>
        <v>412</v>
      </c>
      <c r="AT40" s="78" t="n">
        <f aca="true">IF(44&gt;=19,SUM(OFFSET(AT36,0,-MIN(23,44-1),1,MIN(6,44-18))),0)</f>
        <v>412</v>
      </c>
      <c r="AU40" s="78" t="n">
        <f aca="true">IF(45&gt;=19,SUM(OFFSET(AU36,0,-MIN(23,45-1),1,MIN(6,45-18))),0)</f>
        <v>355</v>
      </c>
      <c r="AV40" s="78" t="n">
        <f aca="true">IF(46&gt;=19,SUM(OFFSET(AV36,0,-MIN(23,46-1),1,MIN(6,46-18))),0)</f>
        <v>355</v>
      </c>
      <c r="AW40" s="78" t="n">
        <f aca="true">IF(47&gt;=19,SUM(OFFSET(AW36,0,-MIN(23,47-1),1,MIN(6,47-18))),0)</f>
        <v>355</v>
      </c>
      <c r="AX40" s="78" t="n">
        <f aca="true">IF(48&gt;=19,SUM(OFFSET(AX36,0,-MIN(23,48-1),1,MIN(6,48-18))),0)</f>
        <v>355</v>
      </c>
      <c r="AY40" s="78" t="n">
        <f aca="true">IF(49&gt;=19,SUM(OFFSET(AY36,0,-MIN(23,49-1),1,MIN(6,49-18))),0)</f>
        <v>355</v>
      </c>
      <c r="AZ40" s="78" t="n">
        <f aca="true">IF(50&gt;=19,SUM(OFFSET(AZ36,0,-MIN(23,50-1),1,MIN(6,50-18))),0)</f>
        <v>355</v>
      </c>
      <c r="BA40" s="78" t="n">
        <f aca="true">IF(51&gt;=19,SUM(OFFSET(BA36,0,-MIN(23,51-1),1,MIN(6,51-18))),0)</f>
        <v>356</v>
      </c>
      <c r="BB40" s="78" t="n">
        <f aca="true">IF(52&gt;=19,SUM(OFFSET(BB36,0,-MIN(23,52-1),1,MIN(6,52-18))),0)</f>
        <v>356</v>
      </c>
      <c r="BC40" s="78" t="n">
        <f aca="true">IF(53&gt;=19,SUM(OFFSET(BC36,0,-MIN(23,53-1),1,MIN(6,53-18))),0)</f>
        <v>356</v>
      </c>
      <c r="BD40" s="78" t="n">
        <f aca="true">IF(54&gt;=19,SUM(OFFSET(BD36,0,-MIN(23,54-1),1,MIN(6,54-18))),0)</f>
        <v>356</v>
      </c>
      <c r="BE40" s="78" t="n">
        <f aca="true">IF(55&gt;=19,SUM(OFFSET(BE36,0,-MIN(23,55-1),1,MIN(6,55-18))),0)</f>
        <v>356</v>
      </c>
      <c r="BF40" s="78" t="n">
        <f aca="true">IF(56&gt;=19,SUM(OFFSET(BF36,0,-MIN(23,56-1),1,MIN(6,56-18))),0)</f>
        <v>356</v>
      </c>
      <c r="BG40" s="78" t="n">
        <f aca="true">IF(57&gt;=19,SUM(OFFSET(BG36,0,-MIN(23,57-1),1,MIN(6,57-18))),0)</f>
        <v>464</v>
      </c>
      <c r="BH40" s="78" t="n">
        <f aca="true">IF(58&gt;=19,SUM(OFFSET(BH36,0,-MIN(23,58-1),1,MIN(6,58-18))),0)</f>
        <v>464</v>
      </c>
      <c r="BI40" s="78" t="n">
        <f aca="true">IF(59&gt;=19,SUM(OFFSET(BI36,0,-MIN(23,59-1),1,MIN(6,59-18))),0)</f>
        <v>464</v>
      </c>
      <c r="BJ40" s="78" t="n">
        <f aca="true">IF(60&gt;=19,SUM(OFFSET(BJ36,0,-MIN(23,60-1),1,MIN(6,60-18))),0)</f>
        <v>464</v>
      </c>
      <c r="BK40" s="78" t="n">
        <f aca="true">IF(61&gt;=19,SUM(OFFSET(BK36,0,-MIN(23,61-1),1,MIN(6,61-18))),0)</f>
        <v>464</v>
      </c>
      <c r="BL40" s="78" t="n">
        <f aca="true">IF(62&gt;=19,SUM(OFFSET(BL36,0,-MIN(23,62-1),1,MIN(6,62-18))),0)</f>
        <v>464</v>
      </c>
      <c r="BM40" s="78" t="n">
        <f aca="true">IF(63&gt;=19,SUM(OFFSET(BM36,0,-MIN(23,63-1),1,MIN(6,63-18))),0)</f>
        <v>464</v>
      </c>
      <c r="BN40" s="78" t="n">
        <f aca="true">IF(64&gt;=19,SUM(OFFSET(BN36,0,-MIN(23,64-1),1,MIN(6,64-18))),0)</f>
        <v>464</v>
      </c>
      <c r="BO40" s="78" t="n">
        <f aca="true">IF(65&gt;=19,SUM(OFFSET(BO36,0,-MIN(23,65-1),1,MIN(6,65-18))),0)</f>
        <v>464</v>
      </c>
      <c r="BP40" s="78" t="n">
        <f aca="true">IF(66&gt;=19,SUM(OFFSET(BP36,0,-MIN(23,66-1),1,MIN(6,66-18))),0)</f>
        <v>464</v>
      </c>
      <c r="BQ40" s="78" t="n">
        <f aca="true">IF(67&gt;=19,SUM(OFFSET(BQ36,0,-MIN(23,67-1),1,MIN(6,67-18))),0)</f>
        <v>464</v>
      </c>
      <c r="BR40" s="78" t="n">
        <f aca="true">IF(68&gt;=19,SUM(OFFSET(BR36,0,-MIN(23,68-1),1,MIN(6,68-18))),0)</f>
        <v>464</v>
      </c>
      <c r="BS40" s="78" t="n">
        <f aca="true">IF(69&gt;=19,SUM(OFFSET(BS36,0,-MIN(23,69-1),1,MIN(6,69-18))),0)</f>
        <v>464</v>
      </c>
      <c r="BT40" s="78" t="n">
        <f aca="true">IF(70&gt;=19,SUM(OFFSET(BT36,0,-MIN(23,70-1),1,MIN(6,70-18))),0)</f>
        <v>464</v>
      </c>
      <c r="BU40" s="78" t="n">
        <f aca="true">IF(71&gt;=19,SUM(OFFSET(BU36,0,-MIN(23,71-1),1,MIN(6,71-18))),0)</f>
        <v>464</v>
      </c>
      <c r="BV40" s="78" t="n">
        <f aca="true">IF(72&gt;=19,SUM(OFFSET(BV36,0,-MIN(23,72-1),1,MIN(6,72-18))),0)</f>
        <v>464</v>
      </c>
      <c r="BW40" s="78" t="n">
        <f aca="true">IF(73&gt;=19,SUM(OFFSET(BW36,0,-MIN(23,73-1),1,MIN(6,73-18))),0)</f>
        <v>464</v>
      </c>
      <c r="BX40" s="78" t="n">
        <f aca="true">IF(74&gt;=19,SUM(OFFSET(BX36,0,-MIN(23,74-1),1,MIN(6,74-18))),0)</f>
        <v>464</v>
      </c>
      <c r="BY40" s="78" t="n">
        <f aca="true">IF(75&gt;=19,SUM(OFFSET(BY36,0,-MIN(23,75-1),1,MIN(6,75-18))),0)</f>
        <v>464</v>
      </c>
      <c r="BZ40" s="78" t="n">
        <f aca="true">IF(76&gt;=19,SUM(OFFSET(BZ36,0,-MIN(23,76-1),1,MIN(6,76-18))),0)</f>
        <v>464</v>
      </c>
      <c r="CA40" s="78" t="n">
        <f aca="true">IF(77&gt;=19,SUM(OFFSET(CA36,0,-MIN(23,77-1),1,MIN(6,77-18))),0)</f>
        <v>464</v>
      </c>
      <c r="CB40" s="78" t="n">
        <f aca="true">IF(78&gt;=19,SUM(OFFSET(CB36,0,-MIN(23,78-1),1,MIN(6,78-18))),0)</f>
        <v>464</v>
      </c>
      <c r="CC40" s="78" t="n">
        <f aca="true">IF(79&gt;=19,SUM(OFFSET(CC36,0,-MIN(23,79-1),1,MIN(6,79-18))),0)</f>
        <v>464</v>
      </c>
      <c r="CD40" s="78" t="n">
        <f aca="true">IF(80&gt;=19,SUM(OFFSET(CD36,0,-MIN(23,80-1),1,MIN(6,80-18))),0)</f>
        <v>464</v>
      </c>
      <c r="CE40" s="78" t="n">
        <f aca="true">IF(81&gt;=19,SUM(OFFSET(CE36,0,-MIN(23,81-1),1,MIN(6,81-18))),0)</f>
        <v>464</v>
      </c>
      <c r="CF40" s="78" t="n">
        <f aca="true">IF(82&gt;=19,SUM(OFFSET(CF36,0,-MIN(23,82-1),1,MIN(6,82-18))),0)</f>
        <v>464</v>
      </c>
      <c r="CG40" s="78" t="n">
        <f aca="true">IF(83&gt;=19,SUM(OFFSET(CG36,0,-MIN(23,83-1),1,MIN(6,83-18))),0)</f>
        <v>464</v>
      </c>
      <c r="CH40" s="78" t="n">
        <f aca="true">IF(84&gt;=19,SUM(OFFSET(CH36,0,-MIN(23,84-1),1,MIN(6,84-18))),0)</f>
        <v>464</v>
      </c>
      <c r="CI40" s="78" t="n">
        <f aca="true">IF(85&gt;=19,SUM(OFFSET(CI36,0,-MIN(23,85-1),1,MIN(6,85-18))),0)</f>
        <v>464</v>
      </c>
      <c r="CJ40" s="78" t="n">
        <f aca="true">IF(86&gt;=19,SUM(OFFSET(CJ36,0,-MIN(23,86-1),1,MIN(6,86-18))),0)</f>
        <v>464</v>
      </c>
      <c r="CK40" s="78" t="n">
        <f aca="true">IF(87&gt;=19,SUM(OFFSET(CK36,0,-MIN(23,87-1),1,MIN(6,87-18))),0)</f>
        <v>464</v>
      </c>
      <c r="CL40" s="78" t="n">
        <f aca="true">IF(88&gt;=19,SUM(OFFSET(CL36,0,-MIN(23,88-1),1,MIN(6,88-18))),0)</f>
        <v>464</v>
      </c>
      <c r="CM40" s="78" t="n">
        <f aca="true">IF(89&gt;=19,SUM(OFFSET(CM36,0,-MIN(23,89-1),1,MIN(6,89-18))),0)</f>
        <v>464</v>
      </c>
      <c r="CN40" s="78" t="n">
        <f aca="true">IF(90&gt;=19,SUM(OFFSET(CN36,0,-MIN(23,90-1),1,MIN(6,90-18))),0)</f>
        <v>464</v>
      </c>
      <c r="CO40" s="78" t="n">
        <f aca="true">IF(91&gt;=19,SUM(OFFSET(CO36,0,-MIN(23,91-1),1,MIN(6,91-18))),0)</f>
        <v>464</v>
      </c>
      <c r="CP40" s="78" t="n">
        <f aca="true">IF(92&gt;=19,SUM(OFFSET(CP36,0,-MIN(23,92-1),1,MIN(6,92-18))),0)</f>
        <v>464</v>
      </c>
      <c r="CQ40" s="78" t="n">
        <f aca="true">IF(93&gt;=19,SUM(OFFSET(CQ36,0,-MIN(23,93-1),1,MIN(6,93-18))),0)</f>
        <v>464</v>
      </c>
      <c r="CR40" s="78" t="n">
        <f aca="true">IF(94&gt;=19,SUM(OFFSET(CR36,0,-MIN(23,94-1),1,MIN(6,94-18))),0)</f>
        <v>464</v>
      </c>
      <c r="CS40" s="78" t="n">
        <f aca="true">IF(95&gt;=19,SUM(OFFSET(CS36,0,-MIN(23,95-1),1,MIN(6,95-18))),0)</f>
        <v>464</v>
      </c>
      <c r="CT40" s="78" t="n">
        <f aca="true">IF(96&gt;=19,SUM(OFFSET(CT36,0,-MIN(23,96-1),1,MIN(6,96-18))),0)</f>
        <v>464</v>
      </c>
    </row>
    <row r="41" customFormat="false" ht="15" hidden="false" customHeight="false" outlineLevel="0" collapsed="false">
      <c r="A41" s="2"/>
      <c r="B41" s="19" t="s">
        <v>717</v>
      </c>
      <c r="C41" s="78" t="n">
        <f aca="false">Supuestos!$C$157-C39</f>
        <v>556</v>
      </c>
      <c r="D41" s="78" t="n">
        <f aca="false">Supuestos!$C$157-D39</f>
        <v>556</v>
      </c>
      <c r="E41" s="78" t="n">
        <f aca="false">Supuestos!$C$157-E39</f>
        <v>556</v>
      </c>
      <c r="F41" s="78" t="n">
        <f aca="false">Supuestos!$C$157-F39</f>
        <v>556</v>
      </c>
      <c r="G41" s="78" t="n">
        <f aca="false">Supuestos!$C$157-G39</f>
        <v>556</v>
      </c>
      <c r="H41" s="78" t="n">
        <f aca="false">Supuestos!$C$157-H39</f>
        <v>556</v>
      </c>
      <c r="I41" s="78" t="n">
        <f aca="false">Supuestos!$C$157-I39</f>
        <v>556</v>
      </c>
      <c r="J41" s="78" t="n">
        <f aca="false">Supuestos!$C$157-J39</f>
        <v>556</v>
      </c>
      <c r="K41" s="78" t="n">
        <f aca="false">Supuestos!$C$157-K39</f>
        <v>556</v>
      </c>
      <c r="L41" s="78" t="n">
        <f aca="false">Supuestos!$C$157-L39</f>
        <v>556</v>
      </c>
      <c r="M41" s="78" t="n">
        <f aca="false">Supuestos!$C$157-M39</f>
        <v>556</v>
      </c>
      <c r="N41" s="78" t="n">
        <f aca="false">Supuestos!$C$157-N39</f>
        <v>556</v>
      </c>
      <c r="O41" s="78" t="n">
        <f aca="false">Supuestos!$C$157-O39</f>
        <v>556</v>
      </c>
      <c r="P41" s="78" t="n">
        <f aca="false">Supuestos!$C$157-P39</f>
        <v>556</v>
      </c>
      <c r="Q41" s="78" t="n">
        <f aca="false">Supuestos!$C$157-Q39</f>
        <v>325</v>
      </c>
      <c r="R41" s="78" t="n">
        <f aca="false">Supuestos!$C$157-R39</f>
        <v>325</v>
      </c>
      <c r="S41" s="78" t="n">
        <f aca="false">Supuestos!$C$157-S39</f>
        <v>325</v>
      </c>
      <c r="T41" s="78" t="n">
        <f aca="false">Supuestos!$C$157-T39</f>
        <v>325</v>
      </c>
      <c r="U41" s="78" t="n">
        <f aca="false">Supuestos!$C$157-U39</f>
        <v>325</v>
      </c>
      <c r="V41" s="78" t="n">
        <f aca="false">Supuestos!$C$157-V39</f>
        <v>325</v>
      </c>
      <c r="W41" s="78" t="n">
        <f aca="false">Supuestos!$C$157-W39</f>
        <v>325</v>
      </c>
      <c r="X41" s="78" t="n">
        <f aca="false">Supuestos!$C$157-X39</f>
        <v>325</v>
      </c>
      <c r="Y41" s="78" t="n">
        <f aca="false">Supuestos!$C$157-Y39</f>
        <v>325</v>
      </c>
      <c r="Z41" s="78" t="n">
        <f aca="false">Supuestos!$C$157-Z39</f>
        <v>325</v>
      </c>
      <c r="AA41" s="78" t="n">
        <f aca="false">Supuestos!$C$157-AA39</f>
        <v>325</v>
      </c>
      <c r="AB41" s="78" t="n">
        <f aca="false">Supuestos!$C$157-AB39</f>
        <v>325</v>
      </c>
      <c r="AC41" s="78" t="n">
        <f aca="false">Supuestos!$C$157-AC39</f>
        <v>144</v>
      </c>
      <c r="AD41" s="78" t="n">
        <f aca="false">Supuestos!$C$157-AD39</f>
        <v>144</v>
      </c>
      <c r="AE41" s="78" t="n">
        <f aca="false">Supuestos!$C$157-AE39</f>
        <v>144</v>
      </c>
      <c r="AF41" s="78" t="n">
        <f aca="false">Supuestos!$C$157-AF39</f>
        <v>144</v>
      </c>
      <c r="AG41" s="78" t="n">
        <f aca="false">Supuestos!$C$157-AG39</f>
        <v>144</v>
      </c>
      <c r="AH41" s="78" t="n">
        <f aca="false">Supuestos!$C$157-AH39</f>
        <v>144</v>
      </c>
      <c r="AI41" s="78" t="n">
        <f aca="false">Supuestos!$C$157-AI39</f>
        <v>144</v>
      </c>
      <c r="AJ41" s="78" t="n">
        <f aca="false">Supuestos!$C$157-AJ39</f>
        <v>144</v>
      </c>
      <c r="AK41" s="78" t="n">
        <f aca="false">Supuestos!$C$157-AK39</f>
        <v>144</v>
      </c>
      <c r="AL41" s="78" t="n">
        <f aca="false">Supuestos!$C$157-AL39</f>
        <v>144</v>
      </c>
      <c r="AM41" s="78" t="n">
        <f aca="false">Supuestos!$C$157-AM39</f>
        <v>144</v>
      </c>
      <c r="AN41" s="78" t="n">
        <f aca="false">Supuestos!$C$157-AN39</f>
        <v>144</v>
      </c>
      <c r="AO41" s="78" t="n">
        <f aca="false">Supuestos!$C$157-AO39</f>
        <v>201</v>
      </c>
      <c r="AP41" s="78" t="n">
        <f aca="false">Supuestos!$C$157-AP39</f>
        <v>201</v>
      </c>
      <c r="AQ41" s="78" t="n">
        <f aca="false">Supuestos!$C$157-AQ39</f>
        <v>201</v>
      </c>
      <c r="AR41" s="78" t="n">
        <f aca="false">Supuestos!$C$157-AR39</f>
        <v>201</v>
      </c>
      <c r="AS41" s="78" t="n">
        <f aca="false">Supuestos!$C$157-AS39</f>
        <v>201</v>
      </c>
      <c r="AT41" s="78" t="n">
        <f aca="false">Supuestos!$C$157-AT39</f>
        <v>201</v>
      </c>
      <c r="AU41" s="78" t="n">
        <f aca="false">Supuestos!$C$157-AU39</f>
        <v>200</v>
      </c>
      <c r="AV41" s="78" t="n">
        <f aca="false">Supuestos!$C$157-AV39</f>
        <v>200</v>
      </c>
      <c r="AW41" s="78" t="n">
        <f aca="false">Supuestos!$C$157-AW39</f>
        <v>200</v>
      </c>
      <c r="AX41" s="78" t="n">
        <f aca="false">Supuestos!$C$157-AX39</f>
        <v>200</v>
      </c>
      <c r="AY41" s="78" t="n">
        <f aca="false">Supuestos!$C$157-AY39</f>
        <v>200</v>
      </c>
      <c r="AZ41" s="78" t="n">
        <f aca="false">Supuestos!$C$157-AZ39</f>
        <v>200</v>
      </c>
      <c r="BA41" s="78" t="n">
        <f aca="false">Supuestos!$C$157-BA39</f>
        <v>92</v>
      </c>
      <c r="BB41" s="78" t="n">
        <f aca="false">Supuestos!$C$157-BB39</f>
        <v>92</v>
      </c>
      <c r="BC41" s="78" t="n">
        <f aca="false">Supuestos!$C$157-BC39</f>
        <v>92</v>
      </c>
      <c r="BD41" s="78" t="n">
        <f aca="false">Supuestos!$C$157-BD39</f>
        <v>92</v>
      </c>
      <c r="BE41" s="78" t="n">
        <f aca="false">Supuestos!$C$157-BE39</f>
        <v>92</v>
      </c>
      <c r="BF41" s="78" t="n">
        <f aca="false">Supuestos!$C$157-BF39</f>
        <v>92</v>
      </c>
      <c r="BG41" s="78" t="n">
        <f aca="false">Supuestos!$C$157-BG39</f>
        <v>92</v>
      </c>
      <c r="BH41" s="78" t="n">
        <f aca="false">Supuestos!$C$157-BH39</f>
        <v>92</v>
      </c>
      <c r="BI41" s="78" t="n">
        <f aca="false">Supuestos!$C$157-BI39</f>
        <v>92</v>
      </c>
      <c r="BJ41" s="78" t="n">
        <f aca="false">Supuestos!$C$157-BJ39</f>
        <v>92</v>
      </c>
      <c r="BK41" s="78" t="n">
        <f aca="false">Supuestos!$C$157-BK39</f>
        <v>92</v>
      </c>
      <c r="BL41" s="78" t="n">
        <f aca="false">Supuestos!$C$157-BL39</f>
        <v>92</v>
      </c>
      <c r="BM41" s="78" t="n">
        <f aca="false">Supuestos!$C$157-BM39</f>
        <v>92</v>
      </c>
      <c r="BN41" s="78" t="n">
        <f aca="false">Supuestos!$C$157-BN39</f>
        <v>92</v>
      </c>
      <c r="BO41" s="78" t="n">
        <f aca="false">Supuestos!$C$157-BO39</f>
        <v>92</v>
      </c>
      <c r="BP41" s="78" t="n">
        <f aca="false">Supuestos!$C$157-BP39</f>
        <v>92</v>
      </c>
      <c r="BQ41" s="78" t="n">
        <f aca="false">Supuestos!$C$157-BQ39</f>
        <v>92</v>
      </c>
      <c r="BR41" s="78" t="n">
        <f aca="false">Supuestos!$C$157-BR39</f>
        <v>92</v>
      </c>
      <c r="BS41" s="78" t="n">
        <f aca="false">Supuestos!$C$157-BS39</f>
        <v>92</v>
      </c>
      <c r="BT41" s="78" t="n">
        <f aca="false">Supuestos!$C$157-BT39</f>
        <v>92</v>
      </c>
      <c r="BU41" s="78" t="n">
        <f aca="false">Supuestos!$C$157-BU39</f>
        <v>92</v>
      </c>
      <c r="BV41" s="78" t="n">
        <f aca="false">Supuestos!$C$157-BV39</f>
        <v>92</v>
      </c>
      <c r="BW41" s="78" t="n">
        <f aca="false">Supuestos!$C$157-BW39</f>
        <v>92</v>
      </c>
      <c r="BX41" s="78" t="n">
        <f aca="false">Supuestos!$C$157-BX39</f>
        <v>92</v>
      </c>
      <c r="BY41" s="78" t="n">
        <f aca="false">Supuestos!$C$157-BY39</f>
        <v>92</v>
      </c>
      <c r="BZ41" s="78" t="n">
        <f aca="false">Supuestos!$C$157-BZ39</f>
        <v>92</v>
      </c>
      <c r="CA41" s="78" t="n">
        <f aca="false">Supuestos!$C$157-CA39</f>
        <v>92</v>
      </c>
      <c r="CB41" s="78" t="n">
        <f aca="false">Supuestos!$C$157-CB39</f>
        <v>92</v>
      </c>
      <c r="CC41" s="78" t="n">
        <f aca="false">Supuestos!$C$157-CC39</f>
        <v>92</v>
      </c>
      <c r="CD41" s="78" t="n">
        <f aca="false">Supuestos!$C$157-CD39</f>
        <v>92</v>
      </c>
      <c r="CE41" s="78" t="n">
        <f aca="false">Supuestos!$C$157-CE39</f>
        <v>92</v>
      </c>
      <c r="CF41" s="78" t="n">
        <f aca="false">Supuestos!$C$157-CF39</f>
        <v>92</v>
      </c>
      <c r="CG41" s="78" t="n">
        <f aca="false">Supuestos!$C$157-CG39</f>
        <v>92</v>
      </c>
      <c r="CH41" s="78" t="n">
        <f aca="false">Supuestos!$C$157-CH39</f>
        <v>92</v>
      </c>
      <c r="CI41" s="78" t="n">
        <f aca="false">Supuestos!$C$157-CI39</f>
        <v>92</v>
      </c>
      <c r="CJ41" s="78" t="n">
        <f aca="false">Supuestos!$C$157-CJ39</f>
        <v>92</v>
      </c>
      <c r="CK41" s="78" t="n">
        <f aca="false">Supuestos!$C$157-CK39</f>
        <v>92</v>
      </c>
      <c r="CL41" s="78" t="n">
        <f aca="false">Supuestos!$C$157-CL39</f>
        <v>92</v>
      </c>
      <c r="CM41" s="78" t="n">
        <f aca="false">Supuestos!$C$157-CM39</f>
        <v>92</v>
      </c>
      <c r="CN41" s="78" t="n">
        <f aca="false">Supuestos!$C$157-CN39</f>
        <v>92</v>
      </c>
      <c r="CO41" s="78" t="n">
        <f aca="false">Supuestos!$C$157-CO39</f>
        <v>92</v>
      </c>
      <c r="CP41" s="78" t="n">
        <f aca="false">Supuestos!$C$157-CP39</f>
        <v>92</v>
      </c>
      <c r="CQ41" s="78" t="n">
        <f aca="false">Supuestos!$C$157-CQ39</f>
        <v>92</v>
      </c>
      <c r="CR41" s="78" t="n">
        <f aca="false">Supuestos!$C$157-CR39</f>
        <v>92</v>
      </c>
      <c r="CS41" s="78" t="n">
        <f aca="false">Supuestos!$C$157-CS39</f>
        <v>92</v>
      </c>
      <c r="CT41" s="78" t="n">
        <f aca="false">Supuestos!$C$157-CT39</f>
        <v>92</v>
      </c>
    </row>
    <row r="42" customFormat="false" ht="15" hidden="false" customHeight="false" outlineLevel="0" collapsed="false">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row>
    <row r="43" customFormat="false" ht="54.75" hidden="false" customHeight="true" outlineLevel="0" collapsed="false">
      <c r="A43" s="2"/>
      <c r="B43" s="22" t="s">
        <v>718</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row>
    <row r="44" customFormat="false" ht="15" hidden="false" customHeight="false" outlineLevel="0" collapsed="false">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CT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4"/>
    <col collapsed="false" customWidth="true" hidden="false" outlineLevel="0" max="98" min="3" style="1" width="11"/>
  </cols>
  <sheetData>
    <row r="2" customFormat="false" ht="15.75" hidden="false" customHeight="true" outlineLevel="0" collapsed="false">
      <c r="B2" s="16" t="s">
        <v>719</v>
      </c>
    </row>
    <row r="3" customFormat="false" ht="15" hidden="false" customHeight="true" outlineLevel="0" collapsed="false">
      <c r="B3" s="4" t="s">
        <v>720</v>
      </c>
    </row>
    <row r="5" customFormat="false" ht="15" hidden="false" customHeight="true" outlineLevel="0" collapsed="false">
      <c r="B5" s="52" t="s">
        <v>541</v>
      </c>
      <c r="C5" s="52" t="s">
        <v>542</v>
      </c>
      <c r="D5" s="53"/>
      <c r="E5" s="53"/>
      <c r="F5" s="53"/>
      <c r="G5" s="53"/>
      <c r="H5" s="53"/>
      <c r="I5" s="53"/>
      <c r="J5" s="53"/>
      <c r="K5" s="53"/>
      <c r="L5" s="53"/>
      <c r="M5" s="53"/>
      <c r="N5" s="53"/>
      <c r="O5" s="52" t="s">
        <v>543</v>
      </c>
      <c r="P5" s="53"/>
      <c r="Q5" s="53"/>
      <c r="R5" s="53"/>
      <c r="S5" s="53"/>
      <c r="T5" s="53"/>
      <c r="U5" s="53"/>
      <c r="V5" s="53"/>
      <c r="W5" s="53"/>
      <c r="X5" s="53"/>
      <c r="Y5" s="53"/>
      <c r="Z5" s="53"/>
      <c r="AA5" s="52" t="s">
        <v>544</v>
      </c>
      <c r="AB5" s="53"/>
      <c r="AC5" s="53"/>
      <c r="AD5" s="53"/>
      <c r="AE5" s="53"/>
      <c r="AF5" s="53"/>
      <c r="AG5" s="53"/>
      <c r="AH5" s="53"/>
      <c r="AI5" s="53"/>
      <c r="AJ5" s="53"/>
      <c r="AK5" s="53"/>
      <c r="AL5" s="53"/>
      <c r="AM5" s="52" t="s">
        <v>545</v>
      </c>
      <c r="AN5" s="53"/>
      <c r="AO5" s="53"/>
      <c r="AP5" s="53"/>
      <c r="AQ5" s="53"/>
      <c r="AR5" s="53"/>
      <c r="AS5" s="53"/>
      <c r="AT5" s="53"/>
      <c r="AU5" s="53"/>
      <c r="AV5" s="53"/>
      <c r="AW5" s="53"/>
      <c r="AX5" s="53"/>
      <c r="AY5" s="52" t="s">
        <v>546</v>
      </c>
      <c r="AZ5" s="53"/>
      <c r="BA5" s="53"/>
      <c r="BB5" s="53"/>
      <c r="BC5" s="53"/>
      <c r="BD5" s="53"/>
      <c r="BE5" s="53"/>
      <c r="BF5" s="53"/>
      <c r="BG5" s="53"/>
      <c r="BH5" s="53"/>
      <c r="BI5" s="53"/>
      <c r="BJ5" s="53"/>
      <c r="BK5" s="52" t="s">
        <v>547</v>
      </c>
      <c r="BL5" s="53"/>
      <c r="BM5" s="53"/>
      <c r="BN5" s="53"/>
      <c r="BO5" s="53"/>
      <c r="BP5" s="53"/>
      <c r="BQ5" s="53"/>
      <c r="BR5" s="53"/>
      <c r="BS5" s="53"/>
      <c r="BT5" s="53"/>
      <c r="BU5" s="53"/>
      <c r="BV5" s="53"/>
      <c r="BW5" s="52" t="s">
        <v>548</v>
      </c>
      <c r="BX5" s="53"/>
      <c r="BY5" s="53"/>
      <c r="BZ5" s="53"/>
      <c r="CA5" s="53"/>
      <c r="CB5" s="53"/>
      <c r="CC5" s="53"/>
      <c r="CD5" s="53"/>
      <c r="CE5" s="53"/>
      <c r="CF5" s="53"/>
      <c r="CG5" s="53"/>
      <c r="CH5" s="53"/>
      <c r="CI5" s="52" t="s">
        <v>549</v>
      </c>
      <c r="CJ5" s="53"/>
      <c r="CK5" s="53"/>
      <c r="CL5" s="53"/>
      <c r="CM5" s="53"/>
      <c r="CN5" s="53"/>
      <c r="CO5" s="53"/>
      <c r="CP5" s="53"/>
      <c r="CQ5" s="53"/>
      <c r="CR5" s="53"/>
      <c r="CS5" s="53"/>
      <c r="CT5" s="53"/>
    </row>
    <row r="6" customFormat="false" ht="15" hidden="false" customHeight="true" outlineLevel="0" collapsed="false">
      <c r="B6" s="54" t="s">
        <v>550</v>
      </c>
      <c r="C6" s="55" t="s">
        <v>505</v>
      </c>
      <c r="D6" s="55" t="s">
        <v>506</v>
      </c>
      <c r="E6" s="55" t="s">
        <v>507</v>
      </c>
      <c r="F6" s="55" t="s">
        <v>508</v>
      </c>
      <c r="G6" s="55" t="s">
        <v>509</v>
      </c>
      <c r="H6" s="55" t="s">
        <v>510</v>
      </c>
      <c r="I6" s="55" t="s">
        <v>511</v>
      </c>
      <c r="J6" s="55" t="s">
        <v>512</v>
      </c>
      <c r="K6" s="55" t="s">
        <v>513</v>
      </c>
      <c r="L6" s="55" t="s">
        <v>514</v>
      </c>
      <c r="M6" s="55" t="s">
        <v>515</v>
      </c>
      <c r="N6" s="55" t="s">
        <v>516</v>
      </c>
      <c r="O6" s="55" t="s">
        <v>505</v>
      </c>
      <c r="P6" s="55" t="s">
        <v>506</v>
      </c>
      <c r="Q6" s="55" t="s">
        <v>507</v>
      </c>
      <c r="R6" s="55" t="s">
        <v>508</v>
      </c>
      <c r="S6" s="55" t="s">
        <v>509</v>
      </c>
      <c r="T6" s="55" t="s">
        <v>510</v>
      </c>
      <c r="U6" s="55" t="s">
        <v>511</v>
      </c>
      <c r="V6" s="55" t="s">
        <v>512</v>
      </c>
      <c r="W6" s="55" t="s">
        <v>513</v>
      </c>
      <c r="X6" s="55" t="s">
        <v>514</v>
      </c>
      <c r="Y6" s="55" t="s">
        <v>515</v>
      </c>
      <c r="Z6" s="55" t="s">
        <v>516</v>
      </c>
      <c r="AA6" s="55" t="s">
        <v>505</v>
      </c>
      <c r="AB6" s="55" t="s">
        <v>506</v>
      </c>
      <c r="AC6" s="55" t="s">
        <v>507</v>
      </c>
      <c r="AD6" s="55" t="s">
        <v>508</v>
      </c>
      <c r="AE6" s="55" t="s">
        <v>509</v>
      </c>
      <c r="AF6" s="55" t="s">
        <v>510</v>
      </c>
      <c r="AG6" s="55" t="s">
        <v>511</v>
      </c>
      <c r="AH6" s="55" t="s">
        <v>512</v>
      </c>
      <c r="AI6" s="55" t="s">
        <v>513</v>
      </c>
      <c r="AJ6" s="55" t="s">
        <v>514</v>
      </c>
      <c r="AK6" s="55" t="s">
        <v>515</v>
      </c>
      <c r="AL6" s="55" t="s">
        <v>516</v>
      </c>
      <c r="AM6" s="55" t="s">
        <v>505</v>
      </c>
      <c r="AN6" s="55" t="s">
        <v>506</v>
      </c>
      <c r="AO6" s="55" t="s">
        <v>507</v>
      </c>
      <c r="AP6" s="55" t="s">
        <v>508</v>
      </c>
      <c r="AQ6" s="55" t="s">
        <v>509</v>
      </c>
      <c r="AR6" s="55" t="s">
        <v>510</v>
      </c>
      <c r="AS6" s="55" t="s">
        <v>511</v>
      </c>
      <c r="AT6" s="55" t="s">
        <v>512</v>
      </c>
      <c r="AU6" s="55" t="s">
        <v>513</v>
      </c>
      <c r="AV6" s="55" t="s">
        <v>514</v>
      </c>
      <c r="AW6" s="55" t="s">
        <v>515</v>
      </c>
      <c r="AX6" s="55" t="s">
        <v>516</v>
      </c>
      <c r="AY6" s="55" t="s">
        <v>505</v>
      </c>
      <c r="AZ6" s="55" t="s">
        <v>506</v>
      </c>
      <c r="BA6" s="55" t="s">
        <v>507</v>
      </c>
      <c r="BB6" s="55" t="s">
        <v>508</v>
      </c>
      <c r="BC6" s="55" t="s">
        <v>509</v>
      </c>
      <c r="BD6" s="55" t="s">
        <v>510</v>
      </c>
      <c r="BE6" s="55" t="s">
        <v>511</v>
      </c>
      <c r="BF6" s="55" t="s">
        <v>512</v>
      </c>
      <c r="BG6" s="55" t="s">
        <v>513</v>
      </c>
      <c r="BH6" s="55" t="s">
        <v>514</v>
      </c>
      <c r="BI6" s="55" t="s">
        <v>515</v>
      </c>
      <c r="BJ6" s="55" t="s">
        <v>516</v>
      </c>
      <c r="BK6" s="55" t="s">
        <v>505</v>
      </c>
      <c r="BL6" s="55" t="s">
        <v>506</v>
      </c>
      <c r="BM6" s="55" t="s">
        <v>507</v>
      </c>
      <c r="BN6" s="55" t="s">
        <v>508</v>
      </c>
      <c r="BO6" s="55" t="s">
        <v>509</v>
      </c>
      <c r="BP6" s="55" t="s">
        <v>510</v>
      </c>
      <c r="BQ6" s="55" t="s">
        <v>511</v>
      </c>
      <c r="BR6" s="55" t="s">
        <v>512</v>
      </c>
      <c r="BS6" s="55" t="s">
        <v>513</v>
      </c>
      <c r="BT6" s="55" t="s">
        <v>514</v>
      </c>
      <c r="BU6" s="55" t="s">
        <v>515</v>
      </c>
      <c r="BV6" s="55" t="s">
        <v>516</v>
      </c>
      <c r="BW6" s="55" t="s">
        <v>505</v>
      </c>
      <c r="BX6" s="55" t="s">
        <v>506</v>
      </c>
      <c r="BY6" s="55" t="s">
        <v>507</v>
      </c>
      <c r="BZ6" s="55" t="s">
        <v>508</v>
      </c>
      <c r="CA6" s="55" t="s">
        <v>509</v>
      </c>
      <c r="CB6" s="55" t="s">
        <v>510</v>
      </c>
      <c r="CC6" s="55" t="s">
        <v>511</v>
      </c>
      <c r="CD6" s="55" t="s">
        <v>512</v>
      </c>
      <c r="CE6" s="55" t="s">
        <v>513</v>
      </c>
      <c r="CF6" s="55" t="s">
        <v>514</v>
      </c>
      <c r="CG6" s="55" t="s">
        <v>515</v>
      </c>
      <c r="CH6" s="55" t="s">
        <v>516</v>
      </c>
      <c r="CI6" s="55" t="s">
        <v>505</v>
      </c>
      <c r="CJ6" s="55" t="s">
        <v>506</v>
      </c>
      <c r="CK6" s="55" t="s">
        <v>507</v>
      </c>
      <c r="CL6" s="55" t="s">
        <v>508</v>
      </c>
      <c r="CM6" s="55" t="s">
        <v>509</v>
      </c>
      <c r="CN6" s="55" t="s">
        <v>510</v>
      </c>
      <c r="CO6" s="55" t="s">
        <v>511</v>
      </c>
      <c r="CP6" s="55" t="s">
        <v>512</v>
      </c>
      <c r="CQ6" s="55" t="s">
        <v>513</v>
      </c>
      <c r="CR6" s="55" t="s">
        <v>514</v>
      </c>
      <c r="CS6" s="55" t="s">
        <v>515</v>
      </c>
      <c r="CT6" s="55" t="s">
        <v>516</v>
      </c>
    </row>
    <row r="8" customFormat="false" ht="27" hidden="false" customHeight="true" outlineLevel="0" collapsed="false">
      <c r="B8" s="14" t="s">
        <v>721</v>
      </c>
      <c r="C8" s="66" t="n">
        <f aca="false">C25+C28</f>
        <v>29964789389.3333</v>
      </c>
      <c r="D8" s="57" t="n">
        <f aca="false">C11</f>
        <v>29810006498.1111</v>
      </c>
      <c r="E8" s="57" t="n">
        <f aca="false">D11</f>
        <v>25905223606.8889</v>
      </c>
      <c r="F8" s="57" t="n">
        <f aca="false">E11</f>
        <v>25750440715.6667</v>
      </c>
      <c r="G8" s="57" t="n">
        <f aca="false">F11</f>
        <v>25595657824.4444</v>
      </c>
      <c r="H8" s="57" t="n">
        <f aca="false">G11</f>
        <v>21690874933.2222</v>
      </c>
      <c r="I8" s="57" t="n">
        <f aca="false">H11</f>
        <v>21536092042</v>
      </c>
      <c r="J8" s="57" t="n">
        <f aca="false">I11</f>
        <v>21381309150.7778</v>
      </c>
      <c r="K8" s="57" t="n">
        <f aca="false">J11</f>
        <v>17476526259.5556</v>
      </c>
      <c r="L8" s="57" t="n">
        <f aca="false">K11</f>
        <v>17321743368.3333</v>
      </c>
      <c r="M8" s="57" t="n">
        <f aca="false">L11</f>
        <v>17166960477.1111</v>
      </c>
      <c r="N8" s="57" t="n">
        <f aca="false">M11</f>
        <v>13262177585.8889</v>
      </c>
      <c r="O8" s="57" t="n">
        <f aca="false">N11</f>
        <v>13107394694.6667</v>
      </c>
      <c r="P8" s="57" t="n">
        <f aca="false">O11</f>
        <v>12952611803.4445</v>
      </c>
      <c r="Q8" s="57" t="n">
        <f aca="false">P11</f>
        <v>9047828912.22223</v>
      </c>
      <c r="R8" s="57" t="n">
        <f aca="false">Q11</f>
        <v>8893046021.00001</v>
      </c>
      <c r="S8" s="57" t="n">
        <f aca="false">R11</f>
        <v>8738263129.77779</v>
      </c>
      <c r="T8" s="57" t="n">
        <f aca="false">S11</f>
        <v>4833480238.55557</v>
      </c>
      <c r="U8" s="57" t="n">
        <f aca="false">T11</f>
        <v>4678697347.33335</v>
      </c>
      <c r="V8" s="57" t="n">
        <f aca="false">U11</f>
        <v>4523914456.11112</v>
      </c>
      <c r="W8" s="57" t="n">
        <f aca="false">V11</f>
        <v>619131564.888901</v>
      </c>
      <c r="X8" s="57" t="n">
        <f aca="false">W11</f>
        <v>464348673.666679</v>
      </c>
      <c r="Y8" s="57" t="n">
        <f aca="false">X11</f>
        <v>309565782.444456</v>
      </c>
      <c r="Z8" s="57" t="n">
        <f aca="false">Y11</f>
        <v>154782891.222234</v>
      </c>
      <c r="AA8" s="57" t="n">
        <f aca="false">Z11</f>
        <v>1.39474868774414E-005</v>
      </c>
      <c r="AB8" s="57" t="n">
        <f aca="false">AA11</f>
        <v>1.39474868774414E-005</v>
      </c>
      <c r="AC8" s="57" t="n">
        <f aca="false">AB11</f>
        <v>1.39474868774414E-005</v>
      </c>
      <c r="AD8" s="57" t="n">
        <f aca="false">AC11</f>
        <v>1.39474868774414E-005</v>
      </c>
      <c r="AE8" s="57" t="n">
        <f aca="false">AD11</f>
        <v>1.39474868774414E-005</v>
      </c>
      <c r="AF8" s="57" t="n">
        <f aca="false">AE11</f>
        <v>1.39474868774414E-005</v>
      </c>
      <c r="AG8" s="57" t="n">
        <f aca="false">AF11</f>
        <v>1.39474868774414E-005</v>
      </c>
      <c r="AH8" s="57" t="n">
        <f aca="false">AG11</f>
        <v>1.39474868774414E-005</v>
      </c>
      <c r="AI8" s="57" t="n">
        <f aca="false">AH11</f>
        <v>1.39474868774414E-005</v>
      </c>
      <c r="AJ8" s="57" t="n">
        <f aca="false">AI11</f>
        <v>1.39474868774414E-005</v>
      </c>
      <c r="AK8" s="57" t="n">
        <f aca="false">AJ11</f>
        <v>1.39474868774414E-005</v>
      </c>
      <c r="AL8" s="57" t="n">
        <f aca="false">AK11</f>
        <v>1.39474868774414E-005</v>
      </c>
      <c r="AM8" s="57" t="n">
        <f aca="false">AL11</f>
        <v>1.39474868774414E-005</v>
      </c>
      <c r="AN8" s="57" t="n">
        <f aca="false">AM11</f>
        <v>1.39474868774414E-005</v>
      </c>
      <c r="AO8" s="57" t="n">
        <f aca="false">AN11</f>
        <v>1.39474868774414E-005</v>
      </c>
      <c r="AP8" s="57" t="n">
        <f aca="false">AO11</f>
        <v>1.39474868774414E-005</v>
      </c>
      <c r="AQ8" s="57" t="n">
        <f aca="false">AP11</f>
        <v>1.39474868774414E-005</v>
      </c>
      <c r="AR8" s="57" t="n">
        <f aca="false">AQ11</f>
        <v>1.39474868774414E-005</v>
      </c>
      <c r="AS8" s="57" t="n">
        <f aca="false">AR11</f>
        <v>1.39474868774414E-005</v>
      </c>
      <c r="AT8" s="57" t="n">
        <f aca="false">AS11</f>
        <v>1.39474868774414E-005</v>
      </c>
      <c r="AU8" s="57" t="n">
        <f aca="false">AT11</f>
        <v>1.39474868774414E-005</v>
      </c>
      <c r="AV8" s="57" t="n">
        <f aca="false">AU11</f>
        <v>1.39474868774414E-005</v>
      </c>
      <c r="AW8" s="57" t="n">
        <f aca="false">AV11</f>
        <v>1.39474868774414E-005</v>
      </c>
      <c r="AX8" s="57" t="n">
        <f aca="false">AW11</f>
        <v>1.39474868774414E-005</v>
      </c>
      <c r="AY8" s="57" t="n">
        <f aca="false">AX11</f>
        <v>1.39474868774414E-005</v>
      </c>
      <c r="AZ8" s="57" t="n">
        <f aca="false">AY11</f>
        <v>1.39474868774414E-005</v>
      </c>
      <c r="BA8" s="57" t="n">
        <f aca="false">AZ11</f>
        <v>1.39474868774414E-005</v>
      </c>
      <c r="BB8" s="57" t="n">
        <f aca="false">BA11</f>
        <v>1.39474868774414E-005</v>
      </c>
      <c r="BC8" s="57" t="n">
        <f aca="false">BB11</f>
        <v>1.39474868774414E-005</v>
      </c>
      <c r="BD8" s="57" t="n">
        <f aca="false">BC11</f>
        <v>1.39474868774414E-005</v>
      </c>
      <c r="BE8" s="57" t="n">
        <f aca="false">BD11</f>
        <v>1.39474868774414E-005</v>
      </c>
      <c r="BF8" s="57" t="n">
        <f aca="false">BE11</f>
        <v>1.39474868774414E-005</v>
      </c>
      <c r="BG8" s="57" t="n">
        <f aca="false">BF11</f>
        <v>1.39474868774414E-005</v>
      </c>
      <c r="BH8" s="57" t="n">
        <f aca="false">BG11</f>
        <v>1.39474868774414E-005</v>
      </c>
      <c r="BI8" s="57" t="n">
        <f aca="false">BH11</f>
        <v>1.39474868774414E-005</v>
      </c>
      <c r="BJ8" s="57" t="n">
        <f aca="false">BI11</f>
        <v>1.39474868774414E-005</v>
      </c>
      <c r="BK8" s="57" t="n">
        <f aca="false">BJ11</f>
        <v>1.39474868774414E-005</v>
      </c>
      <c r="BL8" s="57" t="n">
        <f aca="false">BK11</f>
        <v>1.39474868774414E-005</v>
      </c>
      <c r="BM8" s="57" t="n">
        <f aca="false">BL11</f>
        <v>1.39474868774414E-005</v>
      </c>
      <c r="BN8" s="57" t="n">
        <f aca="false">BM11</f>
        <v>1.39474868774414E-005</v>
      </c>
      <c r="BO8" s="57" t="n">
        <f aca="false">BN11</f>
        <v>1.39474868774414E-005</v>
      </c>
      <c r="BP8" s="57" t="n">
        <f aca="false">BO11</f>
        <v>1.39474868774414E-005</v>
      </c>
      <c r="BQ8" s="57" t="n">
        <f aca="false">BP11</f>
        <v>1.39474868774414E-005</v>
      </c>
      <c r="BR8" s="57" t="n">
        <f aca="false">BQ11</f>
        <v>1.39474868774414E-005</v>
      </c>
      <c r="BS8" s="57" t="n">
        <f aca="false">BR11</f>
        <v>1.39474868774414E-005</v>
      </c>
      <c r="BT8" s="57" t="n">
        <f aca="false">BS11</f>
        <v>1.39474868774414E-005</v>
      </c>
      <c r="BU8" s="57" t="n">
        <f aca="false">BT11</f>
        <v>1.39474868774414E-005</v>
      </c>
      <c r="BV8" s="57" t="n">
        <f aca="false">BU11</f>
        <v>1.39474868774414E-005</v>
      </c>
      <c r="BW8" s="57" t="n">
        <f aca="false">BV11</f>
        <v>1.39474868774414E-005</v>
      </c>
      <c r="BX8" s="57" t="n">
        <f aca="false">BW11</f>
        <v>1.39474868774414E-005</v>
      </c>
      <c r="BY8" s="57" t="n">
        <f aca="false">BX11</f>
        <v>1.39474868774414E-005</v>
      </c>
      <c r="BZ8" s="57" t="n">
        <f aca="false">BY11</f>
        <v>1.39474868774414E-005</v>
      </c>
      <c r="CA8" s="57" t="n">
        <f aca="false">BZ11</f>
        <v>1.39474868774414E-005</v>
      </c>
      <c r="CB8" s="57" t="n">
        <f aca="false">CA11</f>
        <v>1.39474868774414E-005</v>
      </c>
      <c r="CC8" s="57" t="n">
        <f aca="false">CB11</f>
        <v>1.39474868774414E-005</v>
      </c>
      <c r="CD8" s="57" t="n">
        <f aca="false">CC11</f>
        <v>1.39474868774414E-005</v>
      </c>
      <c r="CE8" s="57" t="n">
        <f aca="false">CD11</f>
        <v>1.39474868774414E-005</v>
      </c>
      <c r="CF8" s="57" t="n">
        <f aca="false">CE11</f>
        <v>1.39474868774414E-005</v>
      </c>
      <c r="CG8" s="57" t="n">
        <f aca="false">CF11</f>
        <v>1.39474868774414E-005</v>
      </c>
      <c r="CH8" s="57" t="n">
        <f aca="false">CG11</f>
        <v>1.39474868774414E-005</v>
      </c>
      <c r="CI8" s="57" t="n">
        <f aca="false">CH11</f>
        <v>1.39474868774414E-005</v>
      </c>
      <c r="CJ8" s="57" t="n">
        <f aca="false">CI11</f>
        <v>1.39474868774414E-005</v>
      </c>
      <c r="CK8" s="57" t="n">
        <f aca="false">CJ11</f>
        <v>1.39474868774414E-005</v>
      </c>
      <c r="CL8" s="57" t="n">
        <f aca="false">CK11</f>
        <v>1.39474868774414E-005</v>
      </c>
      <c r="CM8" s="57" t="n">
        <f aca="false">CL11</f>
        <v>1.39474868774414E-005</v>
      </c>
      <c r="CN8" s="57" t="n">
        <f aca="false">CM11</f>
        <v>1.39474868774414E-005</v>
      </c>
      <c r="CO8" s="57" t="n">
        <f aca="false">CN11</f>
        <v>1.39474868774414E-005</v>
      </c>
      <c r="CP8" s="57" t="n">
        <f aca="false">CO11</f>
        <v>1.39474868774414E-005</v>
      </c>
      <c r="CQ8" s="57" t="n">
        <f aca="false">CP11</f>
        <v>1.39474868774414E-005</v>
      </c>
      <c r="CR8" s="57" t="n">
        <f aca="false">CQ11</f>
        <v>1.39474868774414E-005</v>
      </c>
      <c r="CS8" s="57" t="n">
        <f aca="false">CR11</f>
        <v>1.39474868774414E-005</v>
      </c>
      <c r="CT8" s="57" t="n">
        <f aca="false">CS11</f>
        <v>1.39474868774414E-005</v>
      </c>
    </row>
    <row r="9" customFormat="false" ht="15" hidden="false" customHeight="true" outlineLevel="0" collapsed="false">
      <c r="B9" s="19" t="s">
        <v>722</v>
      </c>
      <c r="C9" s="57" t="n">
        <f aca="false">C26+C29</f>
        <v>154782891.222222</v>
      </c>
      <c r="D9" s="57" t="n">
        <f aca="false">D26+D29</f>
        <v>3904782891.22222</v>
      </c>
      <c r="E9" s="57" t="n">
        <f aca="false">E26+E29</f>
        <v>154782891.222222</v>
      </c>
      <c r="F9" s="57" t="n">
        <f aca="false">F26+F29</f>
        <v>154782891.222222</v>
      </c>
      <c r="G9" s="57" t="n">
        <f aca="false">G26+G29</f>
        <v>3904782891.22222</v>
      </c>
      <c r="H9" s="57" t="n">
        <f aca="false">H26+H29</f>
        <v>154782891.222222</v>
      </c>
      <c r="I9" s="57" t="n">
        <f aca="false">I26+I29</f>
        <v>154782891.222222</v>
      </c>
      <c r="J9" s="57" t="n">
        <f aca="false">J26+J29</f>
        <v>3904782891.22222</v>
      </c>
      <c r="K9" s="57" t="n">
        <f aca="false">K26+K29</f>
        <v>154782891.222222</v>
      </c>
      <c r="L9" s="57" t="n">
        <f aca="false">L26+L29</f>
        <v>154782891.222222</v>
      </c>
      <c r="M9" s="57" t="n">
        <f aca="false">M26+M29</f>
        <v>3904782891.22222</v>
      </c>
      <c r="N9" s="57" t="n">
        <f aca="false">N26+N29</f>
        <v>154782891.222222</v>
      </c>
      <c r="O9" s="57" t="n">
        <f aca="false">O26+O29</f>
        <v>154782891.222222</v>
      </c>
      <c r="P9" s="57" t="n">
        <f aca="false">P26+P29</f>
        <v>3904782891.22222</v>
      </c>
      <c r="Q9" s="57" t="n">
        <f aca="false">Q26+Q29</f>
        <v>154782891.222222</v>
      </c>
      <c r="R9" s="57" t="n">
        <f aca="false">R26+R29</f>
        <v>154782891.222222</v>
      </c>
      <c r="S9" s="57" t="n">
        <f aca="false">S26+S29</f>
        <v>3904782891.22222</v>
      </c>
      <c r="T9" s="57" t="n">
        <f aca="false">T26+T29</f>
        <v>154782891.222222</v>
      </c>
      <c r="U9" s="57" t="n">
        <f aca="false">U26+U29</f>
        <v>154782891.222222</v>
      </c>
      <c r="V9" s="57" t="n">
        <f aca="false">V26+V29</f>
        <v>3904782891.22222</v>
      </c>
      <c r="W9" s="57" t="n">
        <f aca="false">W26+W29</f>
        <v>154782891.222222</v>
      </c>
      <c r="X9" s="57" t="n">
        <f aca="false">X26+X29</f>
        <v>154782891.222222</v>
      </c>
      <c r="Y9" s="57" t="n">
        <f aca="false">Y26+Y29</f>
        <v>154782891.222222</v>
      </c>
      <c r="Z9" s="57" t="n">
        <f aca="false">Z26+Z29</f>
        <v>154782891.22222</v>
      </c>
      <c r="AA9" s="57" t="n">
        <f aca="false">AA26+AA29</f>
        <v>0</v>
      </c>
      <c r="AB9" s="57" t="n">
        <f aca="false">AB26+AB29</f>
        <v>0</v>
      </c>
      <c r="AC9" s="57" t="n">
        <f aca="false">AC26+AC29</f>
        <v>0</v>
      </c>
      <c r="AD9" s="57" t="n">
        <f aca="false">AD26+AD29</f>
        <v>0</v>
      </c>
      <c r="AE9" s="57" t="n">
        <f aca="false">AE26+AE29</f>
        <v>0</v>
      </c>
      <c r="AF9" s="57" t="n">
        <f aca="false">AF26+AF29</f>
        <v>0</v>
      </c>
      <c r="AG9" s="57" t="n">
        <f aca="false">AG26+AG29</f>
        <v>0</v>
      </c>
      <c r="AH9" s="57" t="n">
        <f aca="false">AH26+AH29</f>
        <v>0</v>
      </c>
      <c r="AI9" s="57" t="n">
        <f aca="false">AI26+AI29</f>
        <v>0</v>
      </c>
      <c r="AJ9" s="57" t="n">
        <f aca="false">AJ26+AJ29</f>
        <v>0</v>
      </c>
      <c r="AK9" s="57" t="n">
        <f aca="false">AK26+AK29</f>
        <v>0</v>
      </c>
      <c r="AL9" s="57" t="n">
        <f aca="false">AL26+AL29</f>
        <v>0</v>
      </c>
      <c r="AM9" s="57" t="n">
        <f aca="false">AM26+AM29</f>
        <v>0</v>
      </c>
      <c r="AN9" s="57" t="n">
        <f aca="false">AN26+AN29</f>
        <v>0</v>
      </c>
      <c r="AO9" s="57" t="n">
        <f aca="false">AO26+AO29</f>
        <v>0</v>
      </c>
      <c r="AP9" s="57" t="n">
        <f aca="false">AP26+AP29</f>
        <v>0</v>
      </c>
      <c r="AQ9" s="57" t="n">
        <f aca="false">AQ26+AQ29</f>
        <v>0</v>
      </c>
      <c r="AR9" s="57" t="n">
        <f aca="false">AR26+AR29</f>
        <v>0</v>
      </c>
      <c r="AS9" s="57" t="n">
        <f aca="false">AS26+AS29</f>
        <v>0</v>
      </c>
      <c r="AT9" s="57" t="n">
        <f aca="false">AT26+AT29</f>
        <v>0</v>
      </c>
      <c r="AU9" s="57" t="n">
        <f aca="false">AU26+AU29</f>
        <v>0</v>
      </c>
      <c r="AV9" s="57" t="n">
        <f aca="false">AV26+AV29</f>
        <v>0</v>
      </c>
      <c r="AW9" s="57" t="n">
        <f aca="false">AW26+AW29</f>
        <v>0</v>
      </c>
      <c r="AX9" s="57" t="n">
        <f aca="false">AX26+AX29</f>
        <v>0</v>
      </c>
      <c r="AY9" s="57" t="n">
        <f aca="false">AY26+AY29</f>
        <v>0</v>
      </c>
      <c r="AZ9" s="57" t="n">
        <f aca="false">AZ26+AZ29</f>
        <v>0</v>
      </c>
      <c r="BA9" s="57" t="n">
        <f aca="false">BA26+BA29</f>
        <v>0</v>
      </c>
      <c r="BB9" s="57" t="n">
        <f aca="false">BB26+BB29</f>
        <v>0</v>
      </c>
      <c r="BC9" s="57" t="n">
        <f aca="false">BC26+BC29</f>
        <v>0</v>
      </c>
      <c r="BD9" s="57" t="n">
        <f aca="false">BD26+BD29</f>
        <v>0</v>
      </c>
      <c r="BE9" s="57" t="n">
        <f aca="false">BE26+BE29</f>
        <v>0</v>
      </c>
      <c r="BF9" s="57" t="n">
        <f aca="false">BF26+BF29</f>
        <v>0</v>
      </c>
      <c r="BG9" s="57" t="n">
        <f aca="false">BG26+BG29</f>
        <v>0</v>
      </c>
      <c r="BH9" s="57" t="n">
        <f aca="false">BH26+BH29</f>
        <v>0</v>
      </c>
      <c r="BI9" s="57" t="n">
        <f aca="false">BI26+BI29</f>
        <v>0</v>
      </c>
      <c r="BJ9" s="57" t="n">
        <f aca="false">BJ26+BJ29</f>
        <v>0</v>
      </c>
      <c r="BK9" s="57" t="n">
        <f aca="false">BK26+BK29</f>
        <v>0</v>
      </c>
      <c r="BL9" s="57" t="n">
        <f aca="false">BL26+BL29</f>
        <v>0</v>
      </c>
      <c r="BM9" s="57" t="n">
        <f aca="false">BM26+BM29</f>
        <v>0</v>
      </c>
      <c r="BN9" s="57" t="n">
        <f aca="false">BN26+BN29</f>
        <v>0</v>
      </c>
      <c r="BO9" s="57" t="n">
        <f aca="false">BO26+BO29</f>
        <v>0</v>
      </c>
      <c r="BP9" s="57" t="n">
        <f aca="false">BP26+BP29</f>
        <v>0</v>
      </c>
      <c r="BQ9" s="57" t="n">
        <f aca="false">BQ26+BQ29</f>
        <v>0</v>
      </c>
      <c r="BR9" s="57" t="n">
        <f aca="false">BR26+BR29</f>
        <v>0</v>
      </c>
      <c r="BS9" s="57" t="n">
        <f aca="false">BS26+BS29</f>
        <v>0</v>
      </c>
      <c r="BT9" s="57" t="n">
        <f aca="false">BT26+BT29</f>
        <v>0</v>
      </c>
      <c r="BU9" s="57" t="n">
        <f aca="false">BU26+BU29</f>
        <v>0</v>
      </c>
      <c r="BV9" s="57" t="n">
        <f aca="false">BV26+BV29</f>
        <v>0</v>
      </c>
      <c r="BW9" s="57" t="n">
        <f aca="false">BW26+BW29</f>
        <v>0</v>
      </c>
      <c r="BX9" s="57" t="n">
        <f aca="false">BX26+BX29</f>
        <v>0</v>
      </c>
      <c r="BY9" s="57" t="n">
        <f aca="false">BY26+BY29</f>
        <v>0</v>
      </c>
      <c r="BZ9" s="57" t="n">
        <f aca="false">BZ26+BZ29</f>
        <v>0</v>
      </c>
      <c r="CA9" s="57" t="n">
        <f aca="false">CA26+CA29</f>
        <v>0</v>
      </c>
      <c r="CB9" s="57" t="n">
        <f aca="false">CB26+CB29</f>
        <v>0</v>
      </c>
      <c r="CC9" s="57" t="n">
        <f aca="false">CC26+CC29</f>
        <v>0</v>
      </c>
      <c r="CD9" s="57" t="n">
        <f aca="false">CD26+CD29</f>
        <v>0</v>
      </c>
      <c r="CE9" s="57" t="n">
        <f aca="false">CE26+CE29</f>
        <v>0</v>
      </c>
      <c r="CF9" s="57" t="n">
        <f aca="false">CF26+CF29</f>
        <v>0</v>
      </c>
      <c r="CG9" s="57" t="n">
        <f aca="false">CG26+CG29</f>
        <v>0</v>
      </c>
      <c r="CH9" s="57" t="n">
        <f aca="false">CH26+CH29</f>
        <v>0</v>
      </c>
      <c r="CI9" s="57" t="n">
        <f aca="false">CI26+CI29</f>
        <v>0</v>
      </c>
      <c r="CJ9" s="57" t="n">
        <f aca="false">CJ26+CJ29</f>
        <v>0</v>
      </c>
      <c r="CK9" s="57" t="n">
        <f aca="false">CK26+CK29</f>
        <v>0</v>
      </c>
      <c r="CL9" s="57" t="n">
        <f aca="false">CL26+CL29</f>
        <v>0</v>
      </c>
      <c r="CM9" s="57" t="n">
        <f aca="false">CM26+CM29</f>
        <v>0</v>
      </c>
      <c r="CN9" s="57" t="n">
        <f aca="false">CN26+CN29</f>
        <v>0</v>
      </c>
      <c r="CO9" s="57" t="n">
        <f aca="false">CO26+CO29</f>
        <v>0</v>
      </c>
      <c r="CP9" s="57" t="n">
        <f aca="false">CP26+CP29</f>
        <v>0</v>
      </c>
      <c r="CQ9" s="57" t="n">
        <f aca="false">CQ26+CQ29</f>
        <v>0</v>
      </c>
      <c r="CR9" s="57" t="n">
        <f aca="false">CR26+CR29</f>
        <v>0</v>
      </c>
      <c r="CS9" s="57" t="n">
        <f aca="false">CS26+CS29</f>
        <v>0</v>
      </c>
      <c r="CT9" s="57" t="n">
        <f aca="false">CT26+CT29</f>
        <v>0</v>
      </c>
    </row>
    <row r="10" customFormat="false" ht="15" hidden="false" customHeight="true" outlineLevel="0" collapsed="false">
      <c r="B10" s="19" t="s">
        <v>723</v>
      </c>
      <c r="C10" s="83" t="n">
        <v>0</v>
      </c>
      <c r="D10" s="83" t="n">
        <v>0</v>
      </c>
      <c r="E10" s="83" t="n">
        <v>0</v>
      </c>
      <c r="F10" s="83" t="n">
        <v>0</v>
      </c>
      <c r="G10" s="83" t="n">
        <v>0</v>
      </c>
      <c r="H10" s="83" t="n">
        <v>0</v>
      </c>
      <c r="I10" s="83" t="n">
        <v>0</v>
      </c>
      <c r="J10" s="83" t="n">
        <v>0</v>
      </c>
      <c r="K10" s="83" t="n">
        <v>0</v>
      </c>
      <c r="L10" s="83" t="n">
        <v>0</v>
      </c>
      <c r="M10" s="83" t="n">
        <v>0</v>
      </c>
      <c r="N10" s="83" t="n">
        <v>0</v>
      </c>
      <c r="O10" s="83" t="n">
        <v>0</v>
      </c>
      <c r="P10" s="83" t="n">
        <v>0</v>
      </c>
      <c r="Q10" s="83" t="n">
        <v>0</v>
      </c>
      <c r="R10" s="83" t="n">
        <v>0</v>
      </c>
      <c r="S10" s="83" t="n">
        <v>0</v>
      </c>
      <c r="T10" s="83" t="n">
        <v>0</v>
      </c>
      <c r="U10" s="83" t="n">
        <v>0</v>
      </c>
      <c r="V10" s="83" t="n">
        <v>0</v>
      </c>
      <c r="W10" s="83" t="n">
        <v>0</v>
      </c>
      <c r="X10" s="83" t="n">
        <v>0</v>
      </c>
      <c r="Y10" s="83" t="n">
        <v>0</v>
      </c>
      <c r="Z10" s="83" t="n">
        <v>0</v>
      </c>
      <c r="AA10" s="83" t="n">
        <v>0</v>
      </c>
      <c r="AB10" s="83" t="n">
        <v>0</v>
      </c>
      <c r="AC10" s="83" t="n">
        <v>0</v>
      </c>
      <c r="AD10" s="83" t="n">
        <v>0</v>
      </c>
      <c r="AE10" s="83" t="n">
        <v>0</v>
      </c>
      <c r="AF10" s="83" t="n">
        <v>0</v>
      </c>
      <c r="AG10" s="83" t="n">
        <v>0</v>
      </c>
      <c r="AH10" s="83" t="n">
        <v>0</v>
      </c>
      <c r="AI10" s="83" t="n">
        <v>0</v>
      </c>
      <c r="AJ10" s="83" t="n">
        <v>0</v>
      </c>
      <c r="AK10" s="83" t="n">
        <v>0</v>
      </c>
      <c r="AL10" s="83" t="n">
        <v>0</v>
      </c>
      <c r="AM10" s="83" t="n">
        <v>0</v>
      </c>
      <c r="AN10" s="83" t="n">
        <v>0</v>
      </c>
      <c r="AO10" s="83" t="n">
        <v>0</v>
      </c>
      <c r="AP10" s="83" t="n">
        <v>0</v>
      </c>
      <c r="AQ10" s="83" t="n">
        <v>0</v>
      </c>
      <c r="AR10" s="83" t="n">
        <v>0</v>
      </c>
      <c r="AS10" s="83" t="n">
        <v>0</v>
      </c>
      <c r="AT10" s="83" t="n">
        <v>0</v>
      </c>
      <c r="AU10" s="83" t="n">
        <v>0</v>
      </c>
      <c r="AV10" s="83" t="n">
        <v>0</v>
      </c>
      <c r="AW10" s="83" t="n">
        <v>0</v>
      </c>
      <c r="AX10" s="83" t="n">
        <v>0</v>
      </c>
      <c r="AY10" s="83" t="n">
        <v>0</v>
      </c>
      <c r="AZ10" s="83" t="n">
        <v>0</v>
      </c>
      <c r="BA10" s="83" t="n">
        <v>0</v>
      </c>
      <c r="BB10" s="83" t="n">
        <v>0</v>
      </c>
      <c r="BC10" s="83" t="n">
        <v>0</v>
      </c>
      <c r="BD10" s="83" t="n">
        <v>0</v>
      </c>
      <c r="BE10" s="83" t="n">
        <v>0</v>
      </c>
      <c r="BF10" s="83" t="n">
        <v>0</v>
      </c>
      <c r="BG10" s="83" t="n">
        <v>0</v>
      </c>
      <c r="BH10" s="83" t="n">
        <v>0</v>
      </c>
      <c r="BI10" s="83" t="n">
        <v>0</v>
      </c>
      <c r="BJ10" s="83" t="n">
        <v>0</v>
      </c>
      <c r="BK10" s="83" t="n">
        <v>0</v>
      </c>
      <c r="BL10" s="83" t="n">
        <v>0</v>
      </c>
      <c r="BM10" s="83" t="n">
        <v>0</v>
      </c>
      <c r="BN10" s="83" t="n">
        <v>0</v>
      </c>
      <c r="BO10" s="83" t="n">
        <v>0</v>
      </c>
      <c r="BP10" s="83" t="n">
        <v>0</v>
      </c>
      <c r="BQ10" s="83" t="n">
        <v>0</v>
      </c>
      <c r="BR10" s="83" t="n">
        <v>0</v>
      </c>
      <c r="BS10" s="83" t="n">
        <v>0</v>
      </c>
      <c r="BT10" s="83" t="n">
        <v>0</v>
      </c>
      <c r="BU10" s="83" t="n">
        <v>0</v>
      </c>
      <c r="BV10" s="83" t="n">
        <v>0</v>
      </c>
      <c r="BW10" s="83" t="n">
        <v>0</v>
      </c>
      <c r="BX10" s="83" t="n">
        <v>0</v>
      </c>
      <c r="BY10" s="83" t="n">
        <v>0</v>
      </c>
      <c r="BZ10" s="83" t="n">
        <v>0</v>
      </c>
      <c r="CA10" s="83" t="n">
        <v>0</v>
      </c>
      <c r="CB10" s="83" t="n">
        <v>0</v>
      </c>
      <c r="CC10" s="83" t="n">
        <v>0</v>
      </c>
      <c r="CD10" s="83" t="n">
        <v>0</v>
      </c>
      <c r="CE10" s="83" t="n">
        <v>0</v>
      </c>
      <c r="CF10" s="83" t="n">
        <v>0</v>
      </c>
      <c r="CG10" s="83" t="n">
        <v>0</v>
      </c>
      <c r="CH10" s="83" t="n">
        <v>0</v>
      </c>
      <c r="CI10" s="83" t="n">
        <v>0</v>
      </c>
      <c r="CJ10" s="83" t="n">
        <v>0</v>
      </c>
      <c r="CK10" s="83" t="n">
        <v>0</v>
      </c>
      <c r="CL10" s="83" t="n">
        <v>0</v>
      </c>
      <c r="CM10" s="83" t="n">
        <v>0</v>
      </c>
      <c r="CN10" s="83" t="n">
        <v>0</v>
      </c>
      <c r="CO10" s="83" t="n">
        <v>0</v>
      </c>
      <c r="CP10" s="83" t="n">
        <v>0</v>
      </c>
      <c r="CQ10" s="83" t="n">
        <v>0</v>
      </c>
      <c r="CR10" s="83" t="n">
        <v>0</v>
      </c>
      <c r="CS10" s="83" t="n">
        <v>0</v>
      </c>
      <c r="CT10" s="83" t="n">
        <v>0</v>
      </c>
    </row>
    <row r="11" customFormat="false" ht="15" hidden="false" customHeight="true" outlineLevel="0" collapsed="false">
      <c r="B11" s="46" t="s">
        <v>724</v>
      </c>
      <c r="C11" s="58" t="n">
        <f aca="false">MAX(C8-C9+C10,0)</f>
        <v>29810006498.1111</v>
      </c>
      <c r="D11" s="58" t="n">
        <f aca="false">MAX(D8-D9+D10,0)</f>
        <v>25905223606.8889</v>
      </c>
      <c r="E11" s="58" t="n">
        <f aca="false">MAX(E8-E9+E10,0)</f>
        <v>25750440715.6667</v>
      </c>
      <c r="F11" s="58" t="n">
        <f aca="false">MAX(F8-F9+F10,0)</f>
        <v>25595657824.4444</v>
      </c>
      <c r="G11" s="58" t="n">
        <f aca="false">MAX(G8-G9+G10,0)</f>
        <v>21690874933.2222</v>
      </c>
      <c r="H11" s="58" t="n">
        <f aca="false">MAX(H8-H9+H10,0)</f>
        <v>21536092042</v>
      </c>
      <c r="I11" s="58" t="n">
        <f aca="false">MAX(I8-I9+I10,0)</f>
        <v>21381309150.7778</v>
      </c>
      <c r="J11" s="58" t="n">
        <f aca="false">MAX(J8-J9+J10,0)</f>
        <v>17476526259.5556</v>
      </c>
      <c r="K11" s="58" t="n">
        <f aca="false">MAX(K8-K9+K10,0)</f>
        <v>17321743368.3333</v>
      </c>
      <c r="L11" s="58" t="n">
        <f aca="false">MAX(L8-L9+L10,0)</f>
        <v>17166960477.1111</v>
      </c>
      <c r="M11" s="58" t="n">
        <f aca="false">MAX(M8-M9+M10,0)</f>
        <v>13262177585.8889</v>
      </c>
      <c r="N11" s="58" t="n">
        <f aca="false">MAX(N8-N9+N10,0)</f>
        <v>13107394694.6667</v>
      </c>
      <c r="O11" s="58" t="n">
        <f aca="false">MAX(O8-O9+O10,0)</f>
        <v>12952611803.4445</v>
      </c>
      <c r="P11" s="58" t="n">
        <f aca="false">MAX(P8-P9+P10,0)</f>
        <v>9047828912.22223</v>
      </c>
      <c r="Q11" s="58" t="n">
        <f aca="false">MAX(Q8-Q9+Q10,0)</f>
        <v>8893046021.00001</v>
      </c>
      <c r="R11" s="58" t="n">
        <f aca="false">MAX(R8-R9+R10,0)</f>
        <v>8738263129.77779</v>
      </c>
      <c r="S11" s="58" t="n">
        <f aca="false">MAX(S8-S9+S10,0)</f>
        <v>4833480238.55557</v>
      </c>
      <c r="T11" s="58" t="n">
        <f aca="false">MAX(T8-T9+T10,0)</f>
        <v>4678697347.33335</v>
      </c>
      <c r="U11" s="58" t="n">
        <f aca="false">MAX(U8-U9+U10,0)</f>
        <v>4523914456.11112</v>
      </c>
      <c r="V11" s="58" t="n">
        <f aca="false">MAX(V8-V9+V10,0)</f>
        <v>619131564.888901</v>
      </c>
      <c r="W11" s="58" t="n">
        <f aca="false">MAX(W8-W9+W10,0)</f>
        <v>464348673.666679</v>
      </c>
      <c r="X11" s="58" t="n">
        <f aca="false">MAX(X8-X9+X10,0)</f>
        <v>309565782.444456</v>
      </c>
      <c r="Y11" s="58" t="n">
        <f aca="false">MAX(Y8-Y9+Y10,0)</f>
        <v>154782891.222234</v>
      </c>
      <c r="Z11" s="58" t="n">
        <f aca="false">MAX(Z8-Z9+Z10,0)</f>
        <v>1.39474868774414E-005</v>
      </c>
      <c r="AA11" s="58" t="n">
        <f aca="false">MAX(AA8-AA9+AA10,0)</f>
        <v>1.39474868774414E-005</v>
      </c>
      <c r="AB11" s="58" t="n">
        <f aca="false">MAX(AB8-AB9+AB10,0)</f>
        <v>1.39474868774414E-005</v>
      </c>
      <c r="AC11" s="58" t="n">
        <f aca="false">MAX(AC8-AC9+AC10,0)</f>
        <v>1.39474868774414E-005</v>
      </c>
      <c r="AD11" s="58" t="n">
        <f aca="false">MAX(AD8-AD9+AD10,0)</f>
        <v>1.39474868774414E-005</v>
      </c>
      <c r="AE11" s="58" t="n">
        <f aca="false">MAX(AE8-AE9+AE10,0)</f>
        <v>1.39474868774414E-005</v>
      </c>
      <c r="AF11" s="58" t="n">
        <f aca="false">MAX(AF8-AF9+AF10,0)</f>
        <v>1.39474868774414E-005</v>
      </c>
      <c r="AG11" s="58" t="n">
        <f aca="false">MAX(AG8-AG9+AG10,0)</f>
        <v>1.39474868774414E-005</v>
      </c>
      <c r="AH11" s="58" t="n">
        <f aca="false">MAX(AH8-AH9+AH10,0)</f>
        <v>1.39474868774414E-005</v>
      </c>
      <c r="AI11" s="58" t="n">
        <f aca="false">MAX(AI8-AI9+AI10,0)</f>
        <v>1.39474868774414E-005</v>
      </c>
      <c r="AJ11" s="58" t="n">
        <f aca="false">MAX(AJ8-AJ9+AJ10,0)</f>
        <v>1.39474868774414E-005</v>
      </c>
      <c r="AK11" s="58" t="n">
        <f aca="false">MAX(AK8-AK9+AK10,0)</f>
        <v>1.39474868774414E-005</v>
      </c>
      <c r="AL11" s="58" t="n">
        <f aca="false">MAX(AL8-AL9+AL10,0)</f>
        <v>1.39474868774414E-005</v>
      </c>
      <c r="AM11" s="58" t="n">
        <f aca="false">MAX(AM8-AM9+AM10,0)</f>
        <v>1.39474868774414E-005</v>
      </c>
      <c r="AN11" s="58" t="n">
        <f aca="false">MAX(AN8-AN9+AN10,0)</f>
        <v>1.39474868774414E-005</v>
      </c>
      <c r="AO11" s="58" t="n">
        <f aca="false">MAX(AO8-AO9+AO10,0)</f>
        <v>1.39474868774414E-005</v>
      </c>
      <c r="AP11" s="58" t="n">
        <f aca="false">MAX(AP8-AP9+AP10,0)</f>
        <v>1.39474868774414E-005</v>
      </c>
      <c r="AQ11" s="58" t="n">
        <f aca="false">MAX(AQ8-AQ9+AQ10,0)</f>
        <v>1.39474868774414E-005</v>
      </c>
      <c r="AR11" s="58" t="n">
        <f aca="false">MAX(AR8-AR9+AR10,0)</f>
        <v>1.39474868774414E-005</v>
      </c>
      <c r="AS11" s="58" t="n">
        <f aca="false">MAX(AS8-AS9+AS10,0)</f>
        <v>1.39474868774414E-005</v>
      </c>
      <c r="AT11" s="58" t="n">
        <f aca="false">MAX(AT8-AT9+AT10,0)</f>
        <v>1.39474868774414E-005</v>
      </c>
      <c r="AU11" s="58" t="n">
        <f aca="false">MAX(AU8-AU9+AU10,0)</f>
        <v>1.39474868774414E-005</v>
      </c>
      <c r="AV11" s="58" t="n">
        <f aca="false">MAX(AV8-AV9+AV10,0)</f>
        <v>1.39474868774414E-005</v>
      </c>
      <c r="AW11" s="58" t="n">
        <f aca="false">MAX(AW8-AW9+AW10,0)</f>
        <v>1.39474868774414E-005</v>
      </c>
      <c r="AX11" s="58" t="n">
        <f aca="false">MAX(AX8-AX9+AX10,0)</f>
        <v>1.39474868774414E-005</v>
      </c>
      <c r="AY11" s="58" t="n">
        <f aca="false">MAX(AY8-AY9+AY10,0)</f>
        <v>1.39474868774414E-005</v>
      </c>
      <c r="AZ11" s="58" t="n">
        <f aca="false">MAX(AZ8-AZ9+AZ10,0)</f>
        <v>1.39474868774414E-005</v>
      </c>
      <c r="BA11" s="58" t="n">
        <f aca="false">MAX(BA8-BA9+BA10,0)</f>
        <v>1.39474868774414E-005</v>
      </c>
      <c r="BB11" s="58" t="n">
        <f aca="false">MAX(BB8-BB9+BB10,0)</f>
        <v>1.39474868774414E-005</v>
      </c>
      <c r="BC11" s="58" t="n">
        <f aca="false">MAX(BC8-BC9+BC10,0)</f>
        <v>1.39474868774414E-005</v>
      </c>
      <c r="BD11" s="58" t="n">
        <f aca="false">MAX(BD8-BD9+BD10,0)</f>
        <v>1.39474868774414E-005</v>
      </c>
      <c r="BE11" s="58" t="n">
        <f aca="false">MAX(BE8-BE9+BE10,0)</f>
        <v>1.39474868774414E-005</v>
      </c>
      <c r="BF11" s="58" t="n">
        <f aca="false">MAX(BF8-BF9+BF10,0)</f>
        <v>1.39474868774414E-005</v>
      </c>
      <c r="BG11" s="58" t="n">
        <f aca="false">MAX(BG8-BG9+BG10,0)</f>
        <v>1.39474868774414E-005</v>
      </c>
      <c r="BH11" s="58" t="n">
        <f aca="false">MAX(BH8-BH9+BH10,0)</f>
        <v>1.39474868774414E-005</v>
      </c>
      <c r="BI11" s="58" t="n">
        <f aca="false">MAX(BI8-BI9+BI10,0)</f>
        <v>1.39474868774414E-005</v>
      </c>
      <c r="BJ11" s="58" t="n">
        <f aca="false">MAX(BJ8-BJ9+BJ10,0)</f>
        <v>1.39474868774414E-005</v>
      </c>
      <c r="BK11" s="58" t="n">
        <f aca="false">MAX(BK8-BK9+BK10,0)</f>
        <v>1.39474868774414E-005</v>
      </c>
      <c r="BL11" s="58" t="n">
        <f aca="false">MAX(BL8-BL9+BL10,0)</f>
        <v>1.39474868774414E-005</v>
      </c>
      <c r="BM11" s="58" t="n">
        <f aca="false">MAX(BM8-BM9+BM10,0)</f>
        <v>1.39474868774414E-005</v>
      </c>
      <c r="BN11" s="58" t="n">
        <f aca="false">MAX(BN8-BN9+BN10,0)</f>
        <v>1.39474868774414E-005</v>
      </c>
      <c r="BO11" s="58" t="n">
        <f aca="false">MAX(BO8-BO9+BO10,0)</f>
        <v>1.39474868774414E-005</v>
      </c>
      <c r="BP11" s="58" t="n">
        <f aca="false">MAX(BP8-BP9+BP10,0)</f>
        <v>1.39474868774414E-005</v>
      </c>
      <c r="BQ11" s="58" t="n">
        <f aca="false">MAX(BQ8-BQ9+BQ10,0)</f>
        <v>1.39474868774414E-005</v>
      </c>
      <c r="BR11" s="58" t="n">
        <f aca="false">MAX(BR8-BR9+BR10,0)</f>
        <v>1.39474868774414E-005</v>
      </c>
      <c r="BS11" s="58" t="n">
        <f aca="false">MAX(BS8-BS9+BS10,0)</f>
        <v>1.39474868774414E-005</v>
      </c>
      <c r="BT11" s="58" t="n">
        <f aca="false">MAX(BT8-BT9+BT10,0)</f>
        <v>1.39474868774414E-005</v>
      </c>
      <c r="BU11" s="58" t="n">
        <f aca="false">MAX(BU8-BU9+BU10,0)</f>
        <v>1.39474868774414E-005</v>
      </c>
      <c r="BV11" s="58" t="n">
        <f aca="false">MAX(BV8-BV9+BV10,0)</f>
        <v>1.39474868774414E-005</v>
      </c>
      <c r="BW11" s="58" t="n">
        <f aca="false">MAX(BW8-BW9+BW10,0)</f>
        <v>1.39474868774414E-005</v>
      </c>
      <c r="BX11" s="58" t="n">
        <f aca="false">MAX(BX8-BX9+BX10,0)</f>
        <v>1.39474868774414E-005</v>
      </c>
      <c r="BY11" s="58" t="n">
        <f aca="false">MAX(BY8-BY9+BY10,0)</f>
        <v>1.39474868774414E-005</v>
      </c>
      <c r="BZ11" s="58" t="n">
        <f aca="false">MAX(BZ8-BZ9+BZ10,0)</f>
        <v>1.39474868774414E-005</v>
      </c>
      <c r="CA11" s="58" t="n">
        <f aca="false">MAX(CA8-CA9+CA10,0)</f>
        <v>1.39474868774414E-005</v>
      </c>
      <c r="CB11" s="58" t="n">
        <f aca="false">MAX(CB8-CB9+CB10,0)</f>
        <v>1.39474868774414E-005</v>
      </c>
      <c r="CC11" s="58" t="n">
        <f aca="false">MAX(CC8-CC9+CC10,0)</f>
        <v>1.39474868774414E-005</v>
      </c>
      <c r="CD11" s="58" t="n">
        <f aca="false">MAX(CD8-CD9+CD10,0)</f>
        <v>1.39474868774414E-005</v>
      </c>
      <c r="CE11" s="58" t="n">
        <f aca="false">MAX(CE8-CE9+CE10,0)</f>
        <v>1.39474868774414E-005</v>
      </c>
      <c r="CF11" s="58" t="n">
        <f aca="false">MAX(CF8-CF9+CF10,0)</f>
        <v>1.39474868774414E-005</v>
      </c>
      <c r="CG11" s="58" t="n">
        <f aca="false">MAX(CG8-CG9+CG10,0)</f>
        <v>1.39474868774414E-005</v>
      </c>
      <c r="CH11" s="58" t="n">
        <f aca="false">MAX(CH8-CH9+CH10,0)</f>
        <v>1.39474868774414E-005</v>
      </c>
      <c r="CI11" s="58" t="n">
        <f aca="false">MAX(CI8-CI9+CI10,0)</f>
        <v>1.39474868774414E-005</v>
      </c>
      <c r="CJ11" s="58" t="n">
        <f aca="false">MAX(CJ8-CJ9+CJ10,0)</f>
        <v>1.39474868774414E-005</v>
      </c>
      <c r="CK11" s="58" t="n">
        <f aca="false">MAX(CK8-CK9+CK10,0)</f>
        <v>1.39474868774414E-005</v>
      </c>
      <c r="CL11" s="58" t="n">
        <f aca="false">MAX(CL8-CL9+CL10,0)</f>
        <v>1.39474868774414E-005</v>
      </c>
      <c r="CM11" s="58" t="n">
        <f aca="false">MAX(CM8-CM9+CM10,0)</f>
        <v>1.39474868774414E-005</v>
      </c>
      <c r="CN11" s="58" t="n">
        <f aca="false">MAX(CN8-CN9+CN10,0)</f>
        <v>1.39474868774414E-005</v>
      </c>
      <c r="CO11" s="58" t="n">
        <f aca="false">MAX(CO8-CO9+CO10,0)</f>
        <v>1.39474868774414E-005</v>
      </c>
      <c r="CP11" s="58" t="n">
        <f aca="false">MAX(CP8-CP9+CP10,0)</f>
        <v>1.39474868774414E-005</v>
      </c>
      <c r="CQ11" s="58" t="n">
        <f aca="false">MAX(CQ8-CQ9+CQ10,0)</f>
        <v>1.39474868774414E-005</v>
      </c>
      <c r="CR11" s="58" t="n">
        <f aca="false">MAX(CR8-CR9+CR10,0)</f>
        <v>1.39474868774414E-005</v>
      </c>
      <c r="CS11" s="58" t="n">
        <f aca="false">MAX(CS8-CS9+CS10,0)</f>
        <v>1.39474868774414E-005</v>
      </c>
      <c r="CT11" s="58" t="n">
        <f aca="false">MAX(CT8-CT9+CT10,0)</f>
        <v>1.39474868774414E-005</v>
      </c>
    </row>
    <row r="13" customFormat="false" ht="15" hidden="false" customHeight="true" outlineLevel="0" collapsed="false">
      <c r="B13" s="19" t="s">
        <v>725</v>
      </c>
      <c r="C13" s="66" t="n">
        <f aca="false">0</f>
        <v>0</v>
      </c>
      <c r="D13" s="57" t="n">
        <f aca="false">C15</f>
        <v>0</v>
      </c>
      <c r="E13" s="57" t="n">
        <f aca="false">D15</f>
        <v>0</v>
      </c>
      <c r="F13" s="57" t="n">
        <f aca="false">E15</f>
        <v>2999459127.6131</v>
      </c>
      <c r="G13" s="57" t="n">
        <f aca="false">F15</f>
        <v>4733930408.1209</v>
      </c>
      <c r="H13" s="57" t="n">
        <f aca="false">G15</f>
        <v>5601166048.3748</v>
      </c>
      <c r="I13" s="57" t="n">
        <f aca="false">H15</f>
        <v>5890244595.12611</v>
      </c>
      <c r="J13" s="57" t="n">
        <f aca="false">I15</f>
        <v>5890244595.12611</v>
      </c>
      <c r="K13" s="57" t="n">
        <f aca="false">J15</f>
        <v>5890244595.12611</v>
      </c>
      <c r="L13" s="57" t="n">
        <f aca="false">K15</f>
        <v>5890244595.12611</v>
      </c>
      <c r="M13" s="57" t="n">
        <f aca="false">L15</f>
        <v>5934437245.99449</v>
      </c>
      <c r="N13" s="57" t="n">
        <f aca="false">M15</f>
        <v>5356280152.49189</v>
      </c>
      <c r="O13" s="57" t="n">
        <f aca="false">N15</f>
        <v>3270066457.58991</v>
      </c>
      <c r="P13" s="57" t="n">
        <f aca="false">O15</f>
        <v>455568145.15572</v>
      </c>
      <c r="Q13" s="57" t="n">
        <f aca="false">P15</f>
        <v>164672456.815578</v>
      </c>
      <c r="R13" s="57" t="n">
        <f aca="false">Q15</f>
        <v>3164131584.42868</v>
      </c>
      <c r="S13" s="57" t="n">
        <f aca="false">R15</f>
        <v>4898602864.93648</v>
      </c>
      <c r="T13" s="57" t="n">
        <f aca="false">S15</f>
        <v>5765838505.19038</v>
      </c>
      <c r="U13" s="57" t="n">
        <f aca="false">T15</f>
        <v>6054917051.94168</v>
      </c>
      <c r="V13" s="57" t="n">
        <f aca="false">U15</f>
        <v>6054917051.94168</v>
      </c>
      <c r="W13" s="57" t="n">
        <f aca="false">V15</f>
        <v>6054917051.94168</v>
      </c>
      <c r="X13" s="57" t="n">
        <f aca="false">W15</f>
        <v>6054917051.94168</v>
      </c>
      <c r="Y13" s="57" t="n">
        <f aca="false">X15</f>
        <v>6099109702.81006</v>
      </c>
      <c r="Z13" s="57" t="n">
        <f aca="false">Y15</f>
        <v>5520952609.30746</v>
      </c>
      <c r="AA13" s="57" t="n">
        <f aca="false">Z15</f>
        <v>3434738914.40548</v>
      </c>
      <c r="AB13" s="57" t="n">
        <f aca="false">AA15</f>
        <v>606093021.396839</v>
      </c>
      <c r="AC13" s="57" t="n">
        <f aca="false">AB15</f>
        <v>315197333.056694</v>
      </c>
      <c r="AD13" s="57" t="n">
        <f aca="false">AC15</f>
        <v>3314656460.66979</v>
      </c>
      <c r="AE13" s="57" t="n">
        <f aca="false">AD15</f>
        <v>5049127741.17759</v>
      </c>
      <c r="AF13" s="57" t="n">
        <f aca="false">AE15</f>
        <v>5916363381.43149</v>
      </c>
      <c r="AG13" s="57" t="n">
        <f aca="false">AF15</f>
        <v>6205441928.18279</v>
      </c>
      <c r="AH13" s="57" t="n">
        <f aca="false">AG15</f>
        <v>6205441928.18279</v>
      </c>
      <c r="AI13" s="57" t="n">
        <f aca="false">AH15</f>
        <v>6205441928.18279</v>
      </c>
      <c r="AJ13" s="57" t="n">
        <f aca="false">AI15</f>
        <v>6205441928.18279</v>
      </c>
      <c r="AK13" s="57" t="n">
        <f aca="false">AJ15</f>
        <v>6249634579.05117</v>
      </c>
      <c r="AL13" s="57" t="n">
        <f aca="false">AK15</f>
        <v>5671477485.54856</v>
      </c>
      <c r="AM13" s="57" t="n">
        <f aca="false">AL15</f>
        <v>3585263790.64658</v>
      </c>
      <c r="AN13" s="57" t="n">
        <f aca="false">AM15</f>
        <v>653120598.75679</v>
      </c>
      <c r="AO13" s="57" t="n">
        <f aca="false">AN15</f>
        <v>362224910.416645</v>
      </c>
      <c r="AP13" s="57" t="n">
        <f aca="false">AO15</f>
        <v>3361684038.02974</v>
      </c>
      <c r="AQ13" s="57" t="n">
        <f aca="false">AP15</f>
        <v>5096155318.53754</v>
      </c>
      <c r="AR13" s="57" t="n">
        <f aca="false">AQ15</f>
        <v>5963390958.79144</v>
      </c>
      <c r="AS13" s="57" t="n">
        <f aca="false">AR15</f>
        <v>6252469505.54273</v>
      </c>
      <c r="AT13" s="57" t="n">
        <f aca="false">AS15</f>
        <v>6252469505.54273</v>
      </c>
      <c r="AU13" s="57" t="n">
        <f aca="false">AT15</f>
        <v>6252469505.54273</v>
      </c>
      <c r="AV13" s="57" t="n">
        <f aca="false">AU15</f>
        <v>6252469505.54273</v>
      </c>
      <c r="AW13" s="57" t="n">
        <f aca="false">AV15</f>
        <v>6296662156.41111</v>
      </c>
      <c r="AX13" s="57" t="n">
        <f aca="false">AW15</f>
        <v>5718505062.90851</v>
      </c>
      <c r="AY13" s="57" t="n">
        <f aca="false">AX15</f>
        <v>3632291368.00653</v>
      </c>
      <c r="AZ13" s="57" t="n">
        <f aca="false">AY15</f>
        <v>653120598.756764</v>
      </c>
      <c r="BA13" s="57" t="n">
        <f aca="false">AZ15</f>
        <v>362224910.416618</v>
      </c>
      <c r="BB13" s="57" t="n">
        <f aca="false">BA15</f>
        <v>3361684038.02972</v>
      </c>
      <c r="BC13" s="57" t="n">
        <f aca="false">BB15</f>
        <v>5096155318.53751</v>
      </c>
      <c r="BD13" s="57" t="n">
        <f aca="false">BC15</f>
        <v>5963390958.79141</v>
      </c>
      <c r="BE13" s="57" t="n">
        <f aca="false">BD15</f>
        <v>6252469505.54271</v>
      </c>
      <c r="BF13" s="57" t="n">
        <f aca="false">BE15</f>
        <v>6252469505.54271</v>
      </c>
      <c r="BG13" s="57" t="n">
        <f aca="false">BF15</f>
        <v>6252469505.54271</v>
      </c>
      <c r="BH13" s="57" t="n">
        <f aca="false">BG15</f>
        <v>6252469505.54271</v>
      </c>
      <c r="BI13" s="57" t="n">
        <f aca="false">BH15</f>
        <v>6296662156.41108</v>
      </c>
      <c r="BJ13" s="57" t="n">
        <f aca="false">BI15</f>
        <v>5718505062.90848</v>
      </c>
      <c r="BK13" s="57" t="n">
        <f aca="false">BJ15</f>
        <v>3632291368.0065</v>
      </c>
      <c r="BL13" s="57" t="n">
        <f aca="false">BK15</f>
        <v>653120598.756737</v>
      </c>
      <c r="BM13" s="57" t="n">
        <f aca="false">BL15</f>
        <v>362224910.416592</v>
      </c>
      <c r="BN13" s="57" t="n">
        <f aca="false">BM15</f>
        <v>3361684038.02969</v>
      </c>
      <c r="BO13" s="57" t="n">
        <f aca="false">BN15</f>
        <v>5096155318.53749</v>
      </c>
      <c r="BP13" s="57" t="n">
        <f aca="false">BO15</f>
        <v>5963390958.79138</v>
      </c>
      <c r="BQ13" s="57" t="n">
        <f aca="false">BP15</f>
        <v>6252469505.54268</v>
      </c>
      <c r="BR13" s="57" t="n">
        <f aca="false">BQ15</f>
        <v>6252469505.54268</v>
      </c>
      <c r="BS13" s="57" t="n">
        <f aca="false">BR15</f>
        <v>6252469505.54268</v>
      </c>
      <c r="BT13" s="57" t="n">
        <f aca="false">BS15</f>
        <v>6252469505.54268</v>
      </c>
      <c r="BU13" s="57" t="n">
        <f aca="false">BT15</f>
        <v>6296662156.41106</v>
      </c>
      <c r="BV13" s="57" t="n">
        <f aca="false">BU15</f>
        <v>5718505062.90846</v>
      </c>
      <c r="BW13" s="57" t="n">
        <f aca="false">BV15</f>
        <v>3632291368.00647</v>
      </c>
      <c r="BX13" s="57" t="n">
        <f aca="false">BW15</f>
        <v>653120598.75671</v>
      </c>
      <c r="BY13" s="57" t="n">
        <f aca="false">BX15</f>
        <v>362224910.416565</v>
      </c>
      <c r="BZ13" s="57" t="n">
        <f aca="false">BY15</f>
        <v>3361684038.02966</v>
      </c>
      <c r="CA13" s="57" t="n">
        <f aca="false">BZ15</f>
        <v>5096155318.53746</v>
      </c>
      <c r="CB13" s="57" t="n">
        <f aca="false">CA15</f>
        <v>5963390958.79136</v>
      </c>
      <c r="CC13" s="57" t="n">
        <f aca="false">CB15</f>
        <v>6252469505.54265</v>
      </c>
      <c r="CD13" s="57" t="n">
        <f aca="false">CC15</f>
        <v>6252469505.54265</v>
      </c>
      <c r="CE13" s="57" t="n">
        <f aca="false">CD15</f>
        <v>6252469505.54265</v>
      </c>
      <c r="CF13" s="57" t="n">
        <f aca="false">CE15</f>
        <v>6252469505.54265</v>
      </c>
      <c r="CG13" s="57" t="n">
        <f aca="false">CF15</f>
        <v>6296662156.41103</v>
      </c>
      <c r="CH13" s="57" t="n">
        <f aca="false">CG15</f>
        <v>5718505062.90843</v>
      </c>
      <c r="CI13" s="57" t="n">
        <f aca="false">CH15</f>
        <v>3632291368.00645</v>
      </c>
      <c r="CJ13" s="57" t="n">
        <f aca="false">CI15</f>
        <v>653120598.756683</v>
      </c>
      <c r="CK13" s="57" t="n">
        <f aca="false">CJ15</f>
        <v>362224910.416538</v>
      </c>
      <c r="CL13" s="57" t="n">
        <f aca="false">CK15</f>
        <v>3361684038.02964</v>
      </c>
      <c r="CM13" s="57" t="n">
        <f aca="false">CL15</f>
        <v>5096155318.53743</v>
      </c>
      <c r="CN13" s="57" t="n">
        <f aca="false">CM15</f>
        <v>5963390958.79133</v>
      </c>
      <c r="CO13" s="57" t="n">
        <f aca="false">CN15</f>
        <v>6252469505.54263</v>
      </c>
      <c r="CP13" s="57" t="n">
        <f aca="false">CO15</f>
        <v>6252469505.54263</v>
      </c>
      <c r="CQ13" s="57" t="n">
        <f aca="false">CP15</f>
        <v>6252469505.54263</v>
      </c>
      <c r="CR13" s="57" t="n">
        <f aca="false">CQ15</f>
        <v>6252469505.54263</v>
      </c>
      <c r="CS13" s="57" t="n">
        <f aca="false">CR15</f>
        <v>6296662156.411</v>
      </c>
      <c r="CT13" s="57" t="n">
        <f aca="false">CS15</f>
        <v>5718505062.9084</v>
      </c>
    </row>
    <row r="14" customFormat="false" ht="15" hidden="false" customHeight="true" outlineLevel="0" collapsed="false">
      <c r="B14" s="65" t="s">
        <v>726</v>
      </c>
      <c r="C14" s="66" t="n">
        <f aca="false">'Gastos objeto'!C25</f>
        <v>0</v>
      </c>
      <c r="D14" s="66" t="n">
        <f aca="false">'Gastos objeto'!D25</f>
        <v>0</v>
      </c>
      <c r="E14" s="66" t="n">
        <f aca="false">'Gastos objeto'!E25</f>
        <v>2999459127.6131</v>
      </c>
      <c r="F14" s="66" t="n">
        <f aca="false">'Gastos objeto'!F25</f>
        <v>1734471280.5078</v>
      </c>
      <c r="G14" s="66" t="n">
        <f aca="false">'Gastos objeto'!G25</f>
        <v>867235640.253899</v>
      </c>
      <c r="H14" s="66" t="n">
        <f aca="false">'Gastos objeto'!H25</f>
        <v>289078546.751305</v>
      </c>
      <c r="I14" s="66" t="n">
        <f aca="false">'Gastos objeto'!I25</f>
        <v>0</v>
      </c>
      <c r="J14" s="66" t="n">
        <f aca="false">'Gastos objeto'!J25</f>
        <v>0</v>
      </c>
      <c r="K14" s="66" t="n">
        <f aca="false">'Gastos objeto'!K25</f>
        <v>0</v>
      </c>
      <c r="L14" s="66" t="n">
        <f aca="false">'Gastos objeto'!L25</f>
        <v>44192650.8683815</v>
      </c>
      <c r="M14" s="66" t="n">
        <f aca="false">'Gastos objeto'!M25</f>
        <v>-578157093.502602</v>
      </c>
      <c r="N14" s="66" t="n">
        <f aca="false">'Gastos objeto'!N25</f>
        <v>-2086213694.90198</v>
      </c>
      <c r="O14" s="66" t="n">
        <f aca="false">'Gastos objeto'!O25</f>
        <v>-2814498312.43419</v>
      </c>
      <c r="P14" s="66" t="n">
        <f aca="false">'Gastos objeto'!P25</f>
        <v>-290895688.340141</v>
      </c>
      <c r="Q14" s="66" t="n">
        <f aca="false">'Gastos objeto'!Q25</f>
        <v>2999459127.6131</v>
      </c>
      <c r="R14" s="66" t="n">
        <f aca="false">'Gastos objeto'!R25</f>
        <v>1734471280.5078</v>
      </c>
      <c r="S14" s="66" t="n">
        <f aca="false">'Gastos objeto'!S25</f>
        <v>867235640.253902</v>
      </c>
      <c r="T14" s="66" t="n">
        <f aca="false">'Gastos objeto'!T25</f>
        <v>289078546.751301</v>
      </c>
      <c r="U14" s="66" t="n">
        <f aca="false">'Gastos objeto'!U25</f>
        <v>0</v>
      </c>
      <c r="V14" s="66" t="n">
        <f aca="false">'Gastos objeto'!V25</f>
        <v>0</v>
      </c>
      <c r="W14" s="66" t="n">
        <f aca="false">'Gastos objeto'!W25</f>
        <v>0</v>
      </c>
      <c r="X14" s="66" t="n">
        <f aca="false">'Gastos objeto'!X25</f>
        <v>44192650.8683815</v>
      </c>
      <c r="Y14" s="66" t="n">
        <f aca="false">'Gastos objeto'!Y25</f>
        <v>-578157093.502602</v>
      </c>
      <c r="Z14" s="66" t="n">
        <f aca="false">'Gastos objeto'!Z25</f>
        <v>-2086213694.90198</v>
      </c>
      <c r="AA14" s="66" t="n">
        <f aca="false">'Gastos objeto'!AA25</f>
        <v>-2828645893.00864</v>
      </c>
      <c r="AB14" s="66" t="n">
        <f aca="false">'Gastos objeto'!AB25</f>
        <v>-290895688.340145</v>
      </c>
      <c r="AC14" s="66" t="n">
        <f aca="false">'Gastos objeto'!AC25</f>
        <v>2999459127.61309</v>
      </c>
      <c r="AD14" s="66" t="n">
        <f aca="false">'Gastos objeto'!AD25</f>
        <v>1734471280.5078</v>
      </c>
      <c r="AE14" s="66" t="n">
        <f aca="false">'Gastos objeto'!AE25</f>
        <v>867235640.253899</v>
      </c>
      <c r="AF14" s="66" t="n">
        <f aca="false">'Gastos objeto'!AF25</f>
        <v>289078546.751301</v>
      </c>
      <c r="AG14" s="66" t="n">
        <f aca="false">'Gastos objeto'!AG25</f>
        <v>0</v>
      </c>
      <c r="AH14" s="66" t="n">
        <f aca="false">'Gastos objeto'!AH25</f>
        <v>0</v>
      </c>
      <c r="AI14" s="66" t="n">
        <f aca="false">'Gastos objeto'!AI25</f>
        <v>0</v>
      </c>
      <c r="AJ14" s="66" t="n">
        <f aca="false">'Gastos objeto'!AJ25</f>
        <v>44192650.8683777</v>
      </c>
      <c r="AK14" s="66" t="n">
        <f aca="false">'Gastos objeto'!AK25</f>
        <v>-578157093.502605</v>
      </c>
      <c r="AL14" s="66" t="n">
        <f aca="false">'Gastos objeto'!AL25</f>
        <v>-2086213694.90198</v>
      </c>
      <c r="AM14" s="66" t="n">
        <f aca="false">'Gastos objeto'!AM25</f>
        <v>-2932143191.88979</v>
      </c>
      <c r="AN14" s="66" t="n">
        <f aca="false">'Gastos objeto'!AN25</f>
        <v>-290895688.340145</v>
      </c>
      <c r="AO14" s="66" t="n">
        <f aca="false">'Gastos objeto'!AO25</f>
        <v>2999459127.6131</v>
      </c>
      <c r="AP14" s="66" t="n">
        <f aca="false">'Gastos objeto'!AP25</f>
        <v>1734471280.5078</v>
      </c>
      <c r="AQ14" s="66" t="n">
        <f aca="false">'Gastos objeto'!AQ25</f>
        <v>867235640.253895</v>
      </c>
      <c r="AR14" s="66" t="n">
        <f aca="false">'Gastos objeto'!AR25</f>
        <v>289078546.751297</v>
      </c>
      <c r="AS14" s="66" t="n">
        <f aca="false">'Gastos objeto'!AS25</f>
        <v>0</v>
      </c>
      <c r="AT14" s="66" t="n">
        <f aca="false">'Gastos objeto'!AT25</f>
        <v>0</v>
      </c>
      <c r="AU14" s="66" t="n">
        <f aca="false">'Gastos objeto'!AU25</f>
        <v>0</v>
      </c>
      <c r="AV14" s="66" t="n">
        <f aca="false">'Gastos objeto'!AV25</f>
        <v>44192650.8683777</v>
      </c>
      <c r="AW14" s="66" t="n">
        <f aca="false">'Gastos objeto'!AW25</f>
        <v>-578157093.502602</v>
      </c>
      <c r="AX14" s="66" t="n">
        <f aca="false">'Gastos objeto'!AX25</f>
        <v>-2086213694.90198</v>
      </c>
      <c r="AY14" s="66" t="n">
        <f aca="false">'Gastos objeto'!AY25</f>
        <v>-2979170769.24976</v>
      </c>
      <c r="AZ14" s="66" t="n">
        <f aca="false">'Gastos objeto'!AZ25</f>
        <v>-290895688.340145</v>
      </c>
      <c r="BA14" s="66" t="n">
        <f aca="false">'Gastos objeto'!BA25</f>
        <v>2999459127.6131</v>
      </c>
      <c r="BB14" s="66" t="n">
        <f aca="false">'Gastos objeto'!BB25</f>
        <v>1734471280.5078</v>
      </c>
      <c r="BC14" s="66" t="n">
        <f aca="false">'Gastos objeto'!BC25</f>
        <v>867235640.253895</v>
      </c>
      <c r="BD14" s="66" t="n">
        <f aca="false">'Gastos objeto'!BD25</f>
        <v>289078546.751297</v>
      </c>
      <c r="BE14" s="66" t="n">
        <f aca="false">'Gastos objeto'!BE25</f>
        <v>0</v>
      </c>
      <c r="BF14" s="66" t="n">
        <f aca="false">'Gastos objeto'!BF25</f>
        <v>0</v>
      </c>
      <c r="BG14" s="66" t="n">
        <f aca="false">'Gastos objeto'!BG25</f>
        <v>0</v>
      </c>
      <c r="BH14" s="66" t="n">
        <f aca="false">'Gastos objeto'!BH25</f>
        <v>44192650.8683777</v>
      </c>
      <c r="BI14" s="66" t="n">
        <f aca="false">'Gastos objeto'!BI25</f>
        <v>-578157093.502602</v>
      </c>
      <c r="BJ14" s="66" t="n">
        <f aca="false">'Gastos objeto'!BJ25</f>
        <v>-2086213694.90198</v>
      </c>
      <c r="BK14" s="66" t="n">
        <f aca="false">'Gastos objeto'!BK25</f>
        <v>-2979170769.24976</v>
      </c>
      <c r="BL14" s="66" t="n">
        <f aca="false">'Gastos objeto'!BL25</f>
        <v>-290895688.340145</v>
      </c>
      <c r="BM14" s="66" t="n">
        <f aca="false">'Gastos objeto'!BM25</f>
        <v>2999459127.6131</v>
      </c>
      <c r="BN14" s="66" t="n">
        <f aca="false">'Gastos objeto'!BN25</f>
        <v>1734471280.5078</v>
      </c>
      <c r="BO14" s="66" t="n">
        <f aca="false">'Gastos objeto'!BO25</f>
        <v>867235640.253895</v>
      </c>
      <c r="BP14" s="66" t="n">
        <f aca="false">'Gastos objeto'!BP25</f>
        <v>289078546.751297</v>
      </c>
      <c r="BQ14" s="66" t="n">
        <f aca="false">'Gastos objeto'!BQ25</f>
        <v>0</v>
      </c>
      <c r="BR14" s="66" t="n">
        <f aca="false">'Gastos objeto'!BR25</f>
        <v>0</v>
      </c>
      <c r="BS14" s="66" t="n">
        <f aca="false">'Gastos objeto'!BS25</f>
        <v>0</v>
      </c>
      <c r="BT14" s="66" t="n">
        <f aca="false">'Gastos objeto'!BT25</f>
        <v>44192650.8683777</v>
      </c>
      <c r="BU14" s="66" t="n">
        <f aca="false">'Gastos objeto'!BU25</f>
        <v>-578157093.502602</v>
      </c>
      <c r="BV14" s="66" t="n">
        <f aca="false">'Gastos objeto'!BV25</f>
        <v>-2086213694.90198</v>
      </c>
      <c r="BW14" s="66" t="n">
        <f aca="false">'Gastos objeto'!BW25</f>
        <v>-2979170769.24976</v>
      </c>
      <c r="BX14" s="66" t="n">
        <f aca="false">'Gastos objeto'!BX25</f>
        <v>-290895688.340145</v>
      </c>
      <c r="BY14" s="66" t="n">
        <f aca="false">'Gastos objeto'!BY25</f>
        <v>2999459127.6131</v>
      </c>
      <c r="BZ14" s="66" t="n">
        <f aca="false">'Gastos objeto'!BZ25</f>
        <v>1734471280.5078</v>
      </c>
      <c r="CA14" s="66" t="n">
        <f aca="false">'Gastos objeto'!CA25</f>
        <v>867235640.253895</v>
      </c>
      <c r="CB14" s="66" t="n">
        <f aca="false">'Gastos objeto'!CB25</f>
        <v>289078546.751297</v>
      </c>
      <c r="CC14" s="66" t="n">
        <f aca="false">'Gastos objeto'!CC25</f>
        <v>0</v>
      </c>
      <c r="CD14" s="66" t="n">
        <f aca="false">'Gastos objeto'!CD25</f>
        <v>0</v>
      </c>
      <c r="CE14" s="66" t="n">
        <f aca="false">'Gastos objeto'!CE25</f>
        <v>0</v>
      </c>
      <c r="CF14" s="66" t="n">
        <f aca="false">'Gastos objeto'!CF25</f>
        <v>44192650.8683777</v>
      </c>
      <c r="CG14" s="66" t="n">
        <f aca="false">'Gastos objeto'!CG25</f>
        <v>-578157093.502602</v>
      </c>
      <c r="CH14" s="66" t="n">
        <f aca="false">'Gastos objeto'!CH25</f>
        <v>-2086213694.90198</v>
      </c>
      <c r="CI14" s="66" t="n">
        <f aca="false">'Gastos objeto'!CI25</f>
        <v>-2979170769.24976</v>
      </c>
      <c r="CJ14" s="66" t="n">
        <f aca="false">'Gastos objeto'!CJ25</f>
        <v>-290895688.340145</v>
      </c>
      <c r="CK14" s="66" t="n">
        <f aca="false">'Gastos objeto'!CK25</f>
        <v>2999459127.6131</v>
      </c>
      <c r="CL14" s="66" t="n">
        <f aca="false">'Gastos objeto'!CL25</f>
        <v>1734471280.5078</v>
      </c>
      <c r="CM14" s="66" t="n">
        <f aca="false">'Gastos objeto'!CM25</f>
        <v>867235640.253895</v>
      </c>
      <c r="CN14" s="66" t="n">
        <f aca="false">'Gastos objeto'!CN25</f>
        <v>289078546.751297</v>
      </c>
      <c r="CO14" s="66" t="n">
        <f aca="false">'Gastos objeto'!CO25</f>
        <v>0</v>
      </c>
      <c r="CP14" s="66" t="n">
        <f aca="false">'Gastos objeto'!CP25</f>
        <v>0</v>
      </c>
      <c r="CQ14" s="66" t="n">
        <f aca="false">'Gastos objeto'!CQ25</f>
        <v>0</v>
      </c>
      <c r="CR14" s="66" t="n">
        <f aca="false">'Gastos objeto'!CR25</f>
        <v>44192650.8683777</v>
      </c>
      <c r="CS14" s="66" t="n">
        <f aca="false">'Gastos objeto'!CS25</f>
        <v>-578157093.502602</v>
      </c>
      <c r="CT14" s="66" t="n">
        <f aca="false">'Gastos objeto'!CT25</f>
        <v>-2086213694.90198</v>
      </c>
    </row>
    <row r="15" customFormat="false" ht="15" hidden="false" customHeight="true" outlineLevel="0" collapsed="false">
      <c r="B15" s="46" t="s">
        <v>727</v>
      </c>
      <c r="C15" s="58" t="n">
        <f aca="false">MAX(C13+C14,0)</f>
        <v>0</v>
      </c>
      <c r="D15" s="58" t="n">
        <f aca="false">MAX(D13+D14,0)</f>
        <v>0</v>
      </c>
      <c r="E15" s="58" t="n">
        <f aca="false">MAX(E13+E14,0)</f>
        <v>2999459127.6131</v>
      </c>
      <c r="F15" s="58" t="n">
        <f aca="false">MAX(F13+F14,0)</f>
        <v>4733930408.1209</v>
      </c>
      <c r="G15" s="58" t="n">
        <f aca="false">MAX(G13+G14,0)</f>
        <v>5601166048.3748</v>
      </c>
      <c r="H15" s="58" t="n">
        <f aca="false">MAX(H13+H14,0)</f>
        <v>5890244595.12611</v>
      </c>
      <c r="I15" s="58" t="n">
        <f aca="false">MAX(I13+I14,0)</f>
        <v>5890244595.12611</v>
      </c>
      <c r="J15" s="58" t="n">
        <f aca="false">MAX(J13+J14,0)</f>
        <v>5890244595.12611</v>
      </c>
      <c r="K15" s="58" t="n">
        <f aca="false">MAX(K13+K14,0)</f>
        <v>5890244595.12611</v>
      </c>
      <c r="L15" s="58" t="n">
        <f aca="false">MAX(L13+L14,0)</f>
        <v>5934437245.99449</v>
      </c>
      <c r="M15" s="58" t="n">
        <f aca="false">MAX(M13+M14,0)</f>
        <v>5356280152.49189</v>
      </c>
      <c r="N15" s="58" t="n">
        <f aca="false">MAX(N13+N14,0)</f>
        <v>3270066457.58991</v>
      </c>
      <c r="O15" s="58" t="n">
        <f aca="false">MAX(O13+O14,0)</f>
        <v>455568145.15572</v>
      </c>
      <c r="P15" s="58" t="n">
        <f aca="false">MAX(P13+P14,0)</f>
        <v>164672456.815578</v>
      </c>
      <c r="Q15" s="58" t="n">
        <f aca="false">MAX(Q13+Q14,0)</f>
        <v>3164131584.42868</v>
      </c>
      <c r="R15" s="58" t="n">
        <f aca="false">MAX(R13+R14,0)</f>
        <v>4898602864.93648</v>
      </c>
      <c r="S15" s="58" t="n">
        <f aca="false">MAX(S13+S14,0)</f>
        <v>5765838505.19038</v>
      </c>
      <c r="T15" s="58" t="n">
        <f aca="false">MAX(T13+T14,0)</f>
        <v>6054917051.94168</v>
      </c>
      <c r="U15" s="58" t="n">
        <f aca="false">MAX(U13+U14,0)</f>
        <v>6054917051.94168</v>
      </c>
      <c r="V15" s="58" t="n">
        <f aca="false">MAX(V13+V14,0)</f>
        <v>6054917051.94168</v>
      </c>
      <c r="W15" s="58" t="n">
        <f aca="false">MAX(W13+W14,0)</f>
        <v>6054917051.94168</v>
      </c>
      <c r="X15" s="58" t="n">
        <f aca="false">MAX(X13+X14,0)</f>
        <v>6099109702.81006</v>
      </c>
      <c r="Y15" s="58" t="n">
        <f aca="false">MAX(Y13+Y14,0)</f>
        <v>5520952609.30746</v>
      </c>
      <c r="Z15" s="58" t="n">
        <f aca="false">MAX(Z13+Z14,0)</f>
        <v>3434738914.40548</v>
      </c>
      <c r="AA15" s="58" t="n">
        <f aca="false">MAX(AA13+AA14,0)</f>
        <v>606093021.396839</v>
      </c>
      <c r="AB15" s="58" t="n">
        <f aca="false">MAX(AB13+AB14,0)</f>
        <v>315197333.056694</v>
      </c>
      <c r="AC15" s="58" t="n">
        <f aca="false">MAX(AC13+AC14,0)</f>
        <v>3314656460.66979</v>
      </c>
      <c r="AD15" s="58" t="n">
        <f aca="false">MAX(AD13+AD14,0)</f>
        <v>5049127741.17759</v>
      </c>
      <c r="AE15" s="58" t="n">
        <f aca="false">MAX(AE13+AE14,0)</f>
        <v>5916363381.43149</v>
      </c>
      <c r="AF15" s="58" t="n">
        <f aca="false">MAX(AF13+AF14,0)</f>
        <v>6205441928.18279</v>
      </c>
      <c r="AG15" s="58" t="n">
        <f aca="false">MAX(AG13+AG14,0)</f>
        <v>6205441928.18279</v>
      </c>
      <c r="AH15" s="58" t="n">
        <f aca="false">MAX(AH13+AH14,0)</f>
        <v>6205441928.18279</v>
      </c>
      <c r="AI15" s="58" t="n">
        <f aca="false">MAX(AI13+AI14,0)</f>
        <v>6205441928.18279</v>
      </c>
      <c r="AJ15" s="58" t="n">
        <f aca="false">MAX(AJ13+AJ14,0)</f>
        <v>6249634579.05117</v>
      </c>
      <c r="AK15" s="58" t="n">
        <f aca="false">MAX(AK13+AK14,0)</f>
        <v>5671477485.54856</v>
      </c>
      <c r="AL15" s="58" t="n">
        <f aca="false">MAX(AL13+AL14,0)</f>
        <v>3585263790.64658</v>
      </c>
      <c r="AM15" s="58" t="n">
        <f aca="false">MAX(AM13+AM14,0)</f>
        <v>653120598.75679</v>
      </c>
      <c r="AN15" s="58" t="n">
        <f aca="false">MAX(AN13+AN14,0)</f>
        <v>362224910.416645</v>
      </c>
      <c r="AO15" s="58" t="n">
        <f aca="false">MAX(AO13+AO14,0)</f>
        <v>3361684038.02974</v>
      </c>
      <c r="AP15" s="58" t="n">
        <f aca="false">MAX(AP13+AP14,0)</f>
        <v>5096155318.53754</v>
      </c>
      <c r="AQ15" s="58" t="n">
        <f aca="false">MAX(AQ13+AQ14,0)</f>
        <v>5963390958.79144</v>
      </c>
      <c r="AR15" s="58" t="n">
        <f aca="false">MAX(AR13+AR14,0)</f>
        <v>6252469505.54273</v>
      </c>
      <c r="AS15" s="58" t="n">
        <f aca="false">MAX(AS13+AS14,0)</f>
        <v>6252469505.54273</v>
      </c>
      <c r="AT15" s="58" t="n">
        <f aca="false">MAX(AT13+AT14,0)</f>
        <v>6252469505.54273</v>
      </c>
      <c r="AU15" s="58" t="n">
        <f aca="false">MAX(AU13+AU14,0)</f>
        <v>6252469505.54273</v>
      </c>
      <c r="AV15" s="58" t="n">
        <f aca="false">MAX(AV13+AV14,0)</f>
        <v>6296662156.41111</v>
      </c>
      <c r="AW15" s="58" t="n">
        <f aca="false">MAX(AW13+AW14,0)</f>
        <v>5718505062.90851</v>
      </c>
      <c r="AX15" s="58" t="n">
        <f aca="false">MAX(AX13+AX14,0)</f>
        <v>3632291368.00653</v>
      </c>
      <c r="AY15" s="58" t="n">
        <f aca="false">MAX(AY13+AY14,0)</f>
        <v>653120598.756764</v>
      </c>
      <c r="AZ15" s="58" t="n">
        <f aca="false">MAX(AZ13+AZ14,0)</f>
        <v>362224910.416618</v>
      </c>
      <c r="BA15" s="58" t="n">
        <f aca="false">MAX(BA13+BA14,0)</f>
        <v>3361684038.02972</v>
      </c>
      <c r="BB15" s="58" t="n">
        <f aca="false">MAX(BB13+BB14,0)</f>
        <v>5096155318.53751</v>
      </c>
      <c r="BC15" s="58" t="n">
        <f aca="false">MAX(BC13+BC14,0)</f>
        <v>5963390958.79141</v>
      </c>
      <c r="BD15" s="58" t="n">
        <f aca="false">MAX(BD13+BD14,0)</f>
        <v>6252469505.54271</v>
      </c>
      <c r="BE15" s="58" t="n">
        <f aca="false">MAX(BE13+BE14,0)</f>
        <v>6252469505.54271</v>
      </c>
      <c r="BF15" s="58" t="n">
        <f aca="false">MAX(BF13+BF14,0)</f>
        <v>6252469505.54271</v>
      </c>
      <c r="BG15" s="58" t="n">
        <f aca="false">MAX(BG13+BG14,0)</f>
        <v>6252469505.54271</v>
      </c>
      <c r="BH15" s="58" t="n">
        <f aca="false">MAX(BH13+BH14,0)</f>
        <v>6296662156.41108</v>
      </c>
      <c r="BI15" s="58" t="n">
        <f aca="false">MAX(BI13+BI14,0)</f>
        <v>5718505062.90848</v>
      </c>
      <c r="BJ15" s="58" t="n">
        <f aca="false">MAX(BJ13+BJ14,0)</f>
        <v>3632291368.0065</v>
      </c>
      <c r="BK15" s="58" t="n">
        <f aca="false">MAX(BK13+BK14,0)</f>
        <v>653120598.756737</v>
      </c>
      <c r="BL15" s="58" t="n">
        <f aca="false">MAX(BL13+BL14,0)</f>
        <v>362224910.416592</v>
      </c>
      <c r="BM15" s="58" t="n">
        <f aca="false">MAX(BM13+BM14,0)</f>
        <v>3361684038.02969</v>
      </c>
      <c r="BN15" s="58" t="n">
        <f aca="false">MAX(BN13+BN14,0)</f>
        <v>5096155318.53749</v>
      </c>
      <c r="BO15" s="58" t="n">
        <f aca="false">MAX(BO13+BO14,0)</f>
        <v>5963390958.79138</v>
      </c>
      <c r="BP15" s="58" t="n">
        <f aca="false">MAX(BP13+BP14,0)</f>
        <v>6252469505.54268</v>
      </c>
      <c r="BQ15" s="58" t="n">
        <f aca="false">MAX(BQ13+BQ14,0)</f>
        <v>6252469505.54268</v>
      </c>
      <c r="BR15" s="58" t="n">
        <f aca="false">MAX(BR13+BR14,0)</f>
        <v>6252469505.54268</v>
      </c>
      <c r="BS15" s="58" t="n">
        <f aca="false">MAX(BS13+BS14,0)</f>
        <v>6252469505.54268</v>
      </c>
      <c r="BT15" s="58" t="n">
        <f aca="false">MAX(BT13+BT14,0)</f>
        <v>6296662156.41106</v>
      </c>
      <c r="BU15" s="58" t="n">
        <f aca="false">MAX(BU13+BU14,0)</f>
        <v>5718505062.90846</v>
      </c>
      <c r="BV15" s="58" t="n">
        <f aca="false">MAX(BV13+BV14,0)</f>
        <v>3632291368.00647</v>
      </c>
      <c r="BW15" s="58" t="n">
        <f aca="false">MAX(BW13+BW14,0)</f>
        <v>653120598.75671</v>
      </c>
      <c r="BX15" s="58" t="n">
        <f aca="false">MAX(BX13+BX14,0)</f>
        <v>362224910.416565</v>
      </c>
      <c r="BY15" s="58" t="n">
        <f aca="false">MAX(BY13+BY14,0)</f>
        <v>3361684038.02966</v>
      </c>
      <c r="BZ15" s="58" t="n">
        <f aca="false">MAX(BZ13+BZ14,0)</f>
        <v>5096155318.53746</v>
      </c>
      <c r="CA15" s="58" t="n">
        <f aca="false">MAX(CA13+CA14,0)</f>
        <v>5963390958.79136</v>
      </c>
      <c r="CB15" s="58" t="n">
        <f aca="false">MAX(CB13+CB14,0)</f>
        <v>6252469505.54265</v>
      </c>
      <c r="CC15" s="58" t="n">
        <f aca="false">MAX(CC13+CC14,0)</f>
        <v>6252469505.54265</v>
      </c>
      <c r="CD15" s="58" t="n">
        <f aca="false">MAX(CD13+CD14,0)</f>
        <v>6252469505.54265</v>
      </c>
      <c r="CE15" s="58" t="n">
        <f aca="false">MAX(CE13+CE14,0)</f>
        <v>6252469505.54265</v>
      </c>
      <c r="CF15" s="58" t="n">
        <f aca="false">MAX(CF13+CF14,0)</f>
        <v>6296662156.41103</v>
      </c>
      <c r="CG15" s="58" t="n">
        <f aca="false">MAX(CG13+CG14,0)</f>
        <v>5718505062.90843</v>
      </c>
      <c r="CH15" s="58" t="n">
        <f aca="false">MAX(CH13+CH14,0)</f>
        <v>3632291368.00645</v>
      </c>
      <c r="CI15" s="58" t="n">
        <f aca="false">MAX(CI13+CI14,0)</f>
        <v>653120598.756683</v>
      </c>
      <c r="CJ15" s="58" t="n">
        <f aca="false">MAX(CJ13+CJ14,0)</f>
        <v>362224910.416538</v>
      </c>
      <c r="CK15" s="58" t="n">
        <f aca="false">MAX(CK13+CK14,0)</f>
        <v>3361684038.02964</v>
      </c>
      <c r="CL15" s="58" t="n">
        <f aca="false">MAX(CL13+CL14,0)</f>
        <v>5096155318.53743</v>
      </c>
      <c r="CM15" s="58" t="n">
        <f aca="false">MAX(CM13+CM14,0)</f>
        <v>5963390958.79133</v>
      </c>
      <c r="CN15" s="58" t="n">
        <f aca="false">MAX(CN13+CN14,0)</f>
        <v>6252469505.54263</v>
      </c>
      <c r="CO15" s="58" t="n">
        <f aca="false">MAX(CO13+CO14,0)</f>
        <v>6252469505.54263</v>
      </c>
      <c r="CP15" s="58" t="n">
        <f aca="false">MAX(CP13+CP14,0)</f>
        <v>6252469505.54263</v>
      </c>
      <c r="CQ15" s="58" t="n">
        <f aca="false">MAX(CQ13+CQ14,0)</f>
        <v>6252469505.54263</v>
      </c>
      <c r="CR15" s="58" t="n">
        <f aca="false">MAX(CR13+CR14,0)</f>
        <v>6296662156.411</v>
      </c>
      <c r="CS15" s="58" t="n">
        <f aca="false">MAX(CS13+CS14,0)</f>
        <v>5718505062.9084</v>
      </c>
      <c r="CT15" s="58" t="n">
        <f aca="false">MAX(CT13+CT14,0)</f>
        <v>3632291368.00642</v>
      </c>
    </row>
    <row r="17" customFormat="false" ht="15" hidden="false" customHeight="true" outlineLevel="0" collapsed="false">
      <c r="B17" s="19" t="s">
        <v>728</v>
      </c>
      <c r="C17" s="26" t="n">
        <f aca="false">IFERROR((C9+D9+E9+F9+G9+H9+I9+J9+K9+L9+M9+N9)/(Recursos!C20+Recursos!D20+Recursos!E20+Recursos!F20+Recursos!G20+Recursos!H20+Recursos!I20+Recursos!J20+Recursos!K20+Recursos!L20+Recursos!M20+Recursos!N20),0)</f>
        <v>0.0539525586807286</v>
      </c>
      <c r="O17" s="26" t="n">
        <f aca="false">IFERROR((O9+P9+Q9+R9+S9+T9+U9+V9+W9+X9+Y9+Z9)/(Recursos!O20+Recursos!P20+Recursos!Q20+Recursos!R20+Recursos!S20+Recursos!T20+Recursos!U20+Recursos!V20+Recursos!W20+Recursos!X20+Recursos!Y20+Recursos!Z20),0)</f>
        <v>0.0411620991500614</v>
      </c>
      <c r="AA17" s="26" t="n">
        <f aca="false">IFERROR((AA9+AB9+AC9+AD9+AE9+AF9+AG9+AH9+AI9+AJ9+AK9+AL9)/(Recursos!AA20+Recursos!AB20+Recursos!AC20+Recursos!AD20+Recursos!AE20+Recursos!AF20+Recursos!AG20+Recursos!AH20+Recursos!AI20+Recursos!AJ20+Recursos!AK20+Recursos!AL20),0)</f>
        <v>0</v>
      </c>
      <c r="AM17" s="26" t="n">
        <f aca="false">IFERROR((AM9+AN9+AO9+AP9+AQ9+AR9+AS9+AT9+AU9+AV9+AW9+AX9)/(Recursos!AM20+Recursos!AN20+Recursos!AO20+Recursos!AP20+Recursos!AQ20+Recursos!AR20+Recursos!AS20+Recursos!AT20+Recursos!AU20+Recursos!AV20+Recursos!AW20+Recursos!AX20),0)</f>
        <v>0</v>
      </c>
      <c r="AY17" s="26" t="n">
        <f aca="false">IFERROR((AY9+AZ9+BA9+BB9+BC9+BD9+BE9+BF9+BG9+BH9+BI9+BJ9)/(Recursos!AY20+Recursos!AZ20+Recursos!BA20+Recursos!BB20+Recursos!BC20+Recursos!BD20+Recursos!BE20+Recursos!BF20+Recursos!BG20+Recursos!BH20+Recursos!BI20+Recursos!BJ20),0)</f>
        <v>0</v>
      </c>
      <c r="BK17" s="26" t="n">
        <f aca="false">IFERROR((BK9+BL9+BM9+BN9+BO9+BP9+BQ9+BR9+BS9+BT9+BU9+BV9)/(Recursos!BK20+Recursos!BL20+Recursos!BM20+Recursos!BN20+Recursos!BO20+Recursos!BP20+Recursos!BQ20+Recursos!BR20+Recursos!BS20+Recursos!BT20+Recursos!BU20+Recursos!BV20),0)</f>
        <v>0</v>
      </c>
      <c r="BW17" s="26" t="n">
        <f aca="false">IFERROR((BW9+BX9+BY9+BZ9+CA9+CB9+CC9+CD9+CE9+CF9+CG9+CH9)/(Recursos!BW20+Recursos!BX20+Recursos!BY20+Recursos!BZ20+Recursos!CA20+Recursos!CB20+Recursos!CC20+Recursos!CD20+Recursos!CE20+Recursos!CF20+Recursos!CG20+Recursos!CH20),0)</f>
        <v>0</v>
      </c>
      <c r="CI17" s="26" t="n">
        <f aca="false">IFERROR((CI9+CJ9+CK9+CL9+CM9+CN9+CO9+CP9+CQ9+CR9+CS9+CT9)/(Recursos!CI20+Recursos!CJ20+Recursos!CK20+Recursos!CL20+Recursos!CM20+Recursos!CN20+Recursos!CO20+Recursos!CP20+Recursos!CQ20+Recursos!CR20+Recursos!CS20+Recursos!CT20),0)</f>
        <v>0</v>
      </c>
    </row>
    <row r="18" customFormat="false" ht="27" hidden="false" customHeight="true" outlineLevel="0" collapsed="false">
      <c r="B18" s="14" t="s">
        <v>729</v>
      </c>
      <c r="C18" s="75" t="n">
        <f aca="false">Supuestos!$C$62-C17</f>
        <v>0.196047441319271</v>
      </c>
      <c r="O18" s="75" t="n">
        <f aca="false">Supuestos!$C$62-O17</f>
        <v>0.208837900849939</v>
      </c>
      <c r="AA18" s="75" t="n">
        <f aca="false">Supuestos!$C$62-AA17</f>
        <v>0.25</v>
      </c>
      <c r="AM18" s="75" t="n">
        <f aca="false">Supuestos!$C$62-AM17</f>
        <v>0.25</v>
      </c>
      <c r="AY18" s="75" t="n">
        <f aca="false">Supuestos!$C$62-AY17</f>
        <v>0.25</v>
      </c>
      <c r="BK18" s="75" t="n">
        <f aca="false">Supuestos!$C$62-BK17</f>
        <v>0.25</v>
      </c>
      <c r="BW18" s="75" t="n">
        <f aca="false">Supuestos!$C$62-BW17</f>
        <v>0.25</v>
      </c>
      <c r="CI18" s="75" t="n">
        <f aca="false">Supuestos!$C$62-CI17</f>
        <v>0.25</v>
      </c>
    </row>
    <row r="20" customFormat="false" ht="54.75" hidden="false" customHeight="true" outlineLevel="0" collapsed="false">
      <c r="B20" s="22" t="s">
        <v>730</v>
      </c>
    </row>
    <row r="22" customFormat="false" ht="64.5" hidden="false" customHeight="true" outlineLevel="0" collapsed="false">
      <c r="B22" s="22" t="s">
        <v>731</v>
      </c>
    </row>
    <row r="24" customFormat="false" ht="15" hidden="false" customHeight="false" outlineLevel="0" collapsed="false">
      <c r="A24" s="2"/>
      <c r="B24" s="56" t="s">
        <v>732</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row>
    <row r="25" customFormat="false" ht="15" hidden="false" customHeight="false" outlineLevel="0" collapsed="false">
      <c r="A25" s="2"/>
      <c r="B25" s="19" t="s">
        <v>733</v>
      </c>
      <c r="C25" s="57" t="n">
        <f aca="false">Supuestos!$C$59-Supuestos!$C$61-(Supuestos!$C$59-Supuestos!$C$61)/Supuestos!$C$64</f>
        <v>3714789389.33333</v>
      </c>
      <c r="D25" s="57" t="n">
        <f aca="false">C27</f>
        <v>3560006498.11111</v>
      </c>
      <c r="E25" s="57" t="n">
        <f aca="false">D27</f>
        <v>3405223606.88889</v>
      </c>
      <c r="F25" s="57" t="n">
        <f aca="false">E27</f>
        <v>3250440715.66667</v>
      </c>
      <c r="G25" s="57" t="n">
        <f aca="false">F27</f>
        <v>3095657824.44444</v>
      </c>
      <c r="H25" s="57" t="n">
        <f aca="false">G27</f>
        <v>2940874933.22222</v>
      </c>
      <c r="I25" s="57" t="n">
        <f aca="false">H27</f>
        <v>2786092042</v>
      </c>
      <c r="J25" s="57" t="n">
        <f aca="false">I27</f>
        <v>2631309150.77778</v>
      </c>
      <c r="K25" s="57" t="n">
        <f aca="false">J27</f>
        <v>2476526259.55555</v>
      </c>
      <c r="L25" s="57" t="n">
        <f aca="false">K27</f>
        <v>2321743368.33333</v>
      </c>
      <c r="M25" s="57" t="n">
        <f aca="false">L27</f>
        <v>2166960477.11111</v>
      </c>
      <c r="N25" s="57" t="n">
        <f aca="false">M27</f>
        <v>2012177585.88889</v>
      </c>
      <c r="O25" s="57" t="n">
        <f aca="false">N27</f>
        <v>1857394694.66667</v>
      </c>
      <c r="P25" s="57" t="n">
        <f aca="false">O27</f>
        <v>1702611803.44444</v>
      </c>
      <c r="Q25" s="57" t="n">
        <f aca="false">P27</f>
        <v>1547828912.22222</v>
      </c>
      <c r="R25" s="57" t="n">
        <f aca="false">Q27</f>
        <v>1393046021</v>
      </c>
      <c r="S25" s="57" t="n">
        <f aca="false">R27</f>
        <v>1238263129.77778</v>
      </c>
      <c r="T25" s="57" t="n">
        <f aca="false">S27</f>
        <v>1083480238.55555</v>
      </c>
      <c r="U25" s="57" t="n">
        <f aca="false">T27</f>
        <v>928697347.333331</v>
      </c>
      <c r="V25" s="57" t="n">
        <f aca="false">U27</f>
        <v>773914456.111109</v>
      </c>
      <c r="W25" s="57" t="n">
        <f aca="false">V27</f>
        <v>619131564.888887</v>
      </c>
      <c r="X25" s="57" t="n">
        <f aca="false">W27</f>
        <v>464348673.666665</v>
      </c>
      <c r="Y25" s="57" t="n">
        <f aca="false">X27</f>
        <v>309565782.444442</v>
      </c>
      <c r="Z25" s="57" t="n">
        <f aca="false">Y27</f>
        <v>154782891.22222</v>
      </c>
      <c r="AA25" s="57" t="n">
        <f aca="false">Z27</f>
        <v>0</v>
      </c>
      <c r="AB25" s="57" t="n">
        <f aca="false">AA27</f>
        <v>0</v>
      </c>
      <c r="AC25" s="57" t="n">
        <f aca="false">AB27</f>
        <v>0</v>
      </c>
      <c r="AD25" s="57" t="n">
        <f aca="false">AC27</f>
        <v>0</v>
      </c>
      <c r="AE25" s="57" t="n">
        <f aca="false">AD27</f>
        <v>0</v>
      </c>
      <c r="AF25" s="57" t="n">
        <f aca="false">AE27</f>
        <v>0</v>
      </c>
      <c r="AG25" s="57" t="n">
        <f aca="false">AF27</f>
        <v>0</v>
      </c>
      <c r="AH25" s="57" t="n">
        <f aca="false">AG27</f>
        <v>0</v>
      </c>
      <c r="AI25" s="57" t="n">
        <f aca="false">AH27</f>
        <v>0</v>
      </c>
      <c r="AJ25" s="57" t="n">
        <f aca="false">AI27</f>
        <v>0</v>
      </c>
      <c r="AK25" s="57" t="n">
        <f aca="false">AJ27</f>
        <v>0</v>
      </c>
      <c r="AL25" s="57" t="n">
        <f aca="false">AK27</f>
        <v>0</v>
      </c>
      <c r="AM25" s="57" t="n">
        <f aca="false">AL27</f>
        <v>0</v>
      </c>
      <c r="AN25" s="57" t="n">
        <f aca="false">AM27</f>
        <v>0</v>
      </c>
      <c r="AO25" s="57" t="n">
        <f aca="false">AN27</f>
        <v>0</v>
      </c>
      <c r="AP25" s="57" t="n">
        <f aca="false">AO27</f>
        <v>0</v>
      </c>
      <c r="AQ25" s="57" t="n">
        <f aca="false">AP27</f>
        <v>0</v>
      </c>
      <c r="AR25" s="57" t="n">
        <f aca="false">AQ27</f>
        <v>0</v>
      </c>
      <c r="AS25" s="57" t="n">
        <f aca="false">AR27</f>
        <v>0</v>
      </c>
      <c r="AT25" s="57" t="n">
        <f aca="false">AS27</f>
        <v>0</v>
      </c>
      <c r="AU25" s="57" t="n">
        <f aca="false">AT27</f>
        <v>0</v>
      </c>
      <c r="AV25" s="57" t="n">
        <f aca="false">AU27</f>
        <v>0</v>
      </c>
      <c r="AW25" s="57" t="n">
        <f aca="false">AV27</f>
        <v>0</v>
      </c>
      <c r="AX25" s="57" t="n">
        <f aca="false">AW27</f>
        <v>0</v>
      </c>
      <c r="AY25" s="57" t="n">
        <f aca="false">AX27</f>
        <v>0</v>
      </c>
      <c r="AZ25" s="57" t="n">
        <f aca="false">AY27</f>
        <v>0</v>
      </c>
      <c r="BA25" s="57" t="n">
        <f aca="false">AZ27</f>
        <v>0</v>
      </c>
      <c r="BB25" s="57" t="n">
        <f aca="false">BA27</f>
        <v>0</v>
      </c>
      <c r="BC25" s="57" t="n">
        <f aca="false">BB27</f>
        <v>0</v>
      </c>
      <c r="BD25" s="57" t="n">
        <f aca="false">BC27</f>
        <v>0</v>
      </c>
      <c r="BE25" s="57" t="n">
        <f aca="false">BD27</f>
        <v>0</v>
      </c>
      <c r="BF25" s="57" t="n">
        <f aca="false">BE27</f>
        <v>0</v>
      </c>
      <c r="BG25" s="57" t="n">
        <f aca="false">BF27</f>
        <v>0</v>
      </c>
      <c r="BH25" s="57" t="n">
        <f aca="false">BG27</f>
        <v>0</v>
      </c>
      <c r="BI25" s="57" t="n">
        <f aca="false">BH27</f>
        <v>0</v>
      </c>
      <c r="BJ25" s="57" t="n">
        <f aca="false">BI27</f>
        <v>0</v>
      </c>
      <c r="BK25" s="57" t="n">
        <f aca="false">BJ27</f>
        <v>0</v>
      </c>
      <c r="BL25" s="57" t="n">
        <f aca="false">BK27</f>
        <v>0</v>
      </c>
      <c r="BM25" s="57" t="n">
        <f aca="false">BL27</f>
        <v>0</v>
      </c>
      <c r="BN25" s="57" t="n">
        <f aca="false">BM27</f>
        <v>0</v>
      </c>
      <c r="BO25" s="57" t="n">
        <f aca="false">BN27</f>
        <v>0</v>
      </c>
      <c r="BP25" s="57" t="n">
        <f aca="false">BO27</f>
        <v>0</v>
      </c>
      <c r="BQ25" s="57" t="n">
        <f aca="false">BP27</f>
        <v>0</v>
      </c>
      <c r="BR25" s="57" t="n">
        <f aca="false">BQ27</f>
        <v>0</v>
      </c>
      <c r="BS25" s="57" t="n">
        <f aca="false">BR27</f>
        <v>0</v>
      </c>
      <c r="BT25" s="57" t="n">
        <f aca="false">BS27</f>
        <v>0</v>
      </c>
      <c r="BU25" s="57" t="n">
        <f aca="false">BT27</f>
        <v>0</v>
      </c>
      <c r="BV25" s="57" t="n">
        <f aca="false">BU27</f>
        <v>0</v>
      </c>
      <c r="BW25" s="57" t="n">
        <f aca="false">BV27</f>
        <v>0</v>
      </c>
      <c r="BX25" s="57" t="n">
        <f aca="false">BW27</f>
        <v>0</v>
      </c>
      <c r="BY25" s="57" t="n">
        <f aca="false">BX27</f>
        <v>0</v>
      </c>
      <c r="BZ25" s="57" t="n">
        <f aca="false">BY27</f>
        <v>0</v>
      </c>
      <c r="CA25" s="57" t="n">
        <f aca="false">BZ27</f>
        <v>0</v>
      </c>
      <c r="CB25" s="57" t="n">
        <f aca="false">CA27</f>
        <v>0</v>
      </c>
      <c r="CC25" s="57" t="n">
        <f aca="false">CB27</f>
        <v>0</v>
      </c>
      <c r="CD25" s="57" t="n">
        <f aca="false">CC27</f>
        <v>0</v>
      </c>
      <c r="CE25" s="57" t="n">
        <f aca="false">CD27</f>
        <v>0</v>
      </c>
      <c r="CF25" s="57" t="n">
        <f aca="false">CE27</f>
        <v>0</v>
      </c>
      <c r="CG25" s="57" t="n">
        <f aca="false">CF27</f>
        <v>0</v>
      </c>
      <c r="CH25" s="57" t="n">
        <f aca="false">CG27</f>
        <v>0</v>
      </c>
      <c r="CI25" s="57" t="n">
        <f aca="false">CH27</f>
        <v>0</v>
      </c>
      <c r="CJ25" s="57" t="n">
        <f aca="false">CI27</f>
        <v>0</v>
      </c>
      <c r="CK25" s="57" t="n">
        <f aca="false">CJ27</f>
        <v>0</v>
      </c>
      <c r="CL25" s="57" t="n">
        <f aca="false">CK27</f>
        <v>0</v>
      </c>
      <c r="CM25" s="57" t="n">
        <f aca="false">CL27</f>
        <v>0</v>
      </c>
      <c r="CN25" s="57" t="n">
        <f aca="false">CM27</f>
        <v>0</v>
      </c>
      <c r="CO25" s="57" t="n">
        <f aca="false">CN27</f>
        <v>0</v>
      </c>
      <c r="CP25" s="57" t="n">
        <f aca="false">CO27</f>
        <v>0</v>
      </c>
      <c r="CQ25" s="57" t="n">
        <f aca="false">CP27</f>
        <v>0</v>
      </c>
      <c r="CR25" s="57" t="n">
        <f aca="false">CQ27</f>
        <v>0</v>
      </c>
      <c r="CS25" s="57" t="n">
        <f aca="false">CR27</f>
        <v>0</v>
      </c>
      <c r="CT25" s="57" t="n">
        <f aca="false">CS27</f>
        <v>0</v>
      </c>
    </row>
    <row r="26" customFormat="false" ht="15" hidden="false" customHeight="false" outlineLevel="0" collapsed="false">
      <c r="A26" s="2"/>
      <c r="B26" s="19" t="s">
        <v>734</v>
      </c>
      <c r="C26" s="57" t="n">
        <f aca="false">IF(AND(3&gt;=2,3&lt;=1+Supuestos!$C$64),MIN(C25,(Supuestos!$C$59-Supuestos!$C$61)/Supuestos!$C$64/12),0)</f>
        <v>154782891.222222</v>
      </c>
      <c r="D26" s="57" t="n">
        <f aca="false">IF(AND(3&gt;=2,3&lt;=1+Supuestos!$C$64),MIN(D25,(Supuestos!$C$59-Supuestos!$C$61)/Supuestos!$C$64/12),0)</f>
        <v>154782891.222222</v>
      </c>
      <c r="E26" s="57" t="n">
        <f aca="false">IF(AND(3&gt;=2,3&lt;=1+Supuestos!$C$64),MIN(E25,(Supuestos!$C$59-Supuestos!$C$61)/Supuestos!$C$64/12),0)</f>
        <v>154782891.222222</v>
      </c>
      <c r="F26" s="57" t="n">
        <f aca="false">IF(AND(3&gt;=2,3&lt;=1+Supuestos!$C$64),MIN(F25,(Supuestos!$C$59-Supuestos!$C$61)/Supuestos!$C$64/12),0)</f>
        <v>154782891.222222</v>
      </c>
      <c r="G26" s="57" t="n">
        <f aca="false">IF(AND(3&gt;=2,3&lt;=1+Supuestos!$C$64),MIN(G25,(Supuestos!$C$59-Supuestos!$C$61)/Supuestos!$C$64/12),0)</f>
        <v>154782891.222222</v>
      </c>
      <c r="H26" s="57" t="n">
        <f aca="false">IF(AND(3&gt;=2,3&lt;=1+Supuestos!$C$64),MIN(H25,(Supuestos!$C$59-Supuestos!$C$61)/Supuestos!$C$64/12),0)</f>
        <v>154782891.222222</v>
      </c>
      <c r="I26" s="57" t="n">
        <f aca="false">IF(AND(3&gt;=2,3&lt;=1+Supuestos!$C$64),MIN(I25,(Supuestos!$C$59-Supuestos!$C$61)/Supuestos!$C$64/12),0)</f>
        <v>154782891.222222</v>
      </c>
      <c r="J26" s="57" t="n">
        <f aca="false">IF(AND(3&gt;=2,3&lt;=1+Supuestos!$C$64),MIN(J25,(Supuestos!$C$59-Supuestos!$C$61)/Supuestos!$C$64/12),0)</f>
        <v>154782891.222222</v>
      </c>
      <c r="K26" s="57" t="n">
        <f aca="false">IF(AND(3&gt;=2,3&lt;=1+Supuestos!$C$64),MIN(K25,(Supuestos!$C$59-Supuestos!$C$61)/Supuestos!$C$64/12),0)</f>
        <v>154782891.222222</v>
      </c>
      <c r="L26" s="57" t="n">
        <f aca="false">IF(AND(3&gt;=2,3&lt;=1+Supuestos!$C$64),MIN(L25,(Supuestos!$C$59-Supuestos!$C$61)/Supuestos!$C$64/12),0)</f>
        <v>154782891.222222</v>
      </c>
      <c r="M26" s="57" t="n">
        <f aca="false">IF(AND(3&gt;=2,3&lt;=1+Supuestos!$C$64),MIN(M25,(Supuestos!$C$59-Supuestos!$C$61)/Supuestos!$C$64/12),0)</f>
        <v>154782891.222222</v>
      </c>
      <c r="N26" s="57" t="n">
        <f aca="false">IF(AND(3&gt;=2,3&lt;=1+Supuestos!$C$64),MIN(N25,(Supuestos!$C$59-Supuestos!$C$61)/Supuestos!$C$64/12),0)</f>
        <v>154782891.222222</v>
      </c>
      <c r="O26" s="57" t="n">
        <f aca="false">IF(AND(4&gt;=2,4&lt;=1+Supuestos!$C$64),MIN(O25,(Supuestos!$C$59-Supuestos!$C$61)/Supuestos!$C$64/12),0)</f>
        <v>154782891.222222</v>
      </c>
      <c r="P26" s="57" t="n">
        <f aca="false">IF(AND(4&gt;=2,4&lt;=1+Supuestos!$C$64),MIN(P25,(Supuestos!$C$59-Supuestos!$C$61)/Supuestos!$C$64/12),0)</f>
        <v>154782891.222222</v>
      </c>
      <c r="Q26" s="57" t="n">
        <f aca="false">IF(AND(4&gt;=2,4&lt;=1+Supuestos!$C$64),MIN(Q25,(Supuestos!$C$59-Supuestos!$C$61)/Supuestos!$C$64/12),0)</f>
        <v>154782891.222222</v>
      </c>
      <c r="R26" s="57" t="n">
        <f aca="false">IF(AND(4&gt;=2,4&lt;=1+Supuestos!$C$64),MIN(R25,(Supuestos!$C$59-Supuestos!$C$61)/Supuestos!$C$64/12),0)</f>
        <v>154782891.222222</v>
      </c>
      <c r="S26" s="57" t="n">
        <f aca="false">IF(AND(4&gt;=2,4&lt;=1+Supuestos!$C$64),MIN(S25,(Supuestos!$C$59-Supuestos!$C$61)/Supuestos!$C$64/12),0)</f>
        <v>154782891.222222</v>
      </c>
      <c r="T26" s="57" t="n">
        <f aca="false">IF(AND(4&gt;=2,4&lt;=1+Supuestos!$C$64),MIN(T25,(Supuestos!$C$59-Supuestos!$C$61)/Supuestos!$C$64/12),0)</f>
        <v>154782891.222222</v>
      </c>
      <c r="U26" s="57" t="n">
        <f aca="false">IF(AND(4&gt;=2,4&lt;=1+Supuestos!$C$64),MIN(U25,(Supuestos!$C$59-Supuestos!$C$61)/Supuestos!$C$64/12),0)</f>
        <v>154782891.222222</v>
      </c>
      <c r="V26" s="57" t="n">
        <f aca="false">IF(AND(4&gt;=2,4&lt;=1+Supuestos!$C$64),MIN(V25,(Supuestos!$C$59-Supuestos!$C$61)/Supuestos!$C$64/12),0)</f>
        <v>154782891.222222</v>
      </c>
      <c r="W26" s="57" t="n">
        <f aca="false">IF(AND(4&gt;=2,4&lt;=1+Supuestos!$C$64),MIN(W25,(Supuestos!$C$59-Supuestos!$C$61)/Supuestos!$C$64/12),0)</f>
        <v>154782891.222222</v>
      </c>
      <c r="X26" s="57" t="n">
        <f aca="false">IF(AND(4&gt;=2,4&lt;=1+Supuestos!$C$64),MIN(X25,(Supuestos!$C$59-Supuestos!$C$61)/Supuestos!$C$64/12),0)</f>
        <v>154782891.222222</v>
      </c>
      <c r="Y26" s="57" t="n">
        <f aca="false">IF(AND(4&gt;=2,4&lt;=1+Supuestos!$C$64),MIN(Y25,(Supuestos!$C$59-Supuestos!$C$61)/Supuestos!$C$64/12),0)</f>
        <v>154782891.222222</v>
      </c>
      <c r="Z26" s="57" t="n">
        <f aca="false">IF(AND(4&gt;=2,4&lt;=1+Supuestos!$C$64),MIN(Z25,(Supuestos!$C$59-Supuestos!$C$61)/Supuestos!$C$64/12),0)</f>
        <v>154782891.22222</v>
      </c>
      <c r="AA26" s="57" t="n">
        <f aca="false">IF(AND(5&gt;=2,5&lt;=1+Supuestos!$C$64),MIN(AA25,(Supuestos!$C$59-Supuestos!$C$61)/Supuestos!$C$64/12),0)</f>
        <v>0</v>
      </c>
      <c r="AB26" s="57" t="n">
        <f aca="false">IF(AND(5&gt;=2,5&lt;=1+Supuestos!$C$64),MIN(AB25,(Supuestos!$C$59-Supuestos!$C$61)/Supuestos!$C$64/12),0)</f>
        <v>0</v>
      </c>
      <c r="AC26" s="57" t="n">
        <f aca="false">IF(AND(5&gt;=2,5&lt;=1+Supuestos!$C$64),MIN(AC25,(Supuestos!$C$59-Supuestos!$C$61)/Supuestos!$C$64/12),0)</f>
        <v>0</v>
      </c>
      <c r="AD26" s="57" t="n">
        <f aca="false">IF(AND(5&gt;=2,5&lt;=1+Supuestos!$C$64),MIN(AD25,(Supuestos!$C$59-Supuestos!$C$61)/Supuestos!$C$64/12),0)</f>
        <v>0</v>
      </c>
      <c r="AE26" s="57" t="n">
        <f aca="false">IF(AND(5&gt;=2,5&lt;=1+Supuestos!$C$64),MIN(AE25,(Supuestos!$C$59-Supuestos!$C$61)/Supuestos!$C$64/12),0)</f>
        <v>0</v>
      </c>
      <c r="AF26" s="57" t="n">
        <f aca="false">IF(AND(5&gt;=2,5&lt;=1+Supuestos!$C$64),MIN(AF25,(Supuestos!$C$59-Supuestos!$C$61)/Supuestos!$C$64/12),0)</f>
        <v>0</v>
      </c>
      <c r="AG26" s="57" t="n">
        <f aca="false">IF(AND(5&gt;=2,5&lt;=1+Supuestos!$C$64),MIN(AG25,(Supuestos!$C$59-Supuestos!$C$61)/Supuestos!$C$64/12),0)</f>
        <v>0</v>
      </c>
      <c r="AH26" s="57" t="n">
        <f aca="false">IF(AND(5&gt;=2,5&lt;=1+Supuestos!$C$64),MIN(AH25,(Supuestos!$C$59-Supuestos!$C$61)/Supuestos!$C$64/12),0)</f>
        <v>0</v>
      </c>
      <c r="AI26" s="57" t="n">
        <f aca="false">IF(AND(5&gt;=2,5&lt;=1+Supuestos!$C$64),MIN(AI25,(Supuestos!$C$59-Supuestos!$C$61)/Supuestos!$C$64/12),0)</f>
        <v>0</v>
      </c>
      <c r="AJ26" s="57" t="n">
        <f aca="false">IF(AND(5&gt;=2,5&lt;=1+Supuestos!$C$64),MIN(AJ25,(Supuestos!$C$59-Supuestos!$C$61)/Supuestos!$C$64/12),0)</f>
        <v>0</v>
      </c>
      <c r="AK26" s="57" t="n">
        <f aca="false">IF(AND(5&gt;=2,5&lt;=1+Supuestos!$C$64),MIN(AK25,(Supuestos!$C$59-Supuestos!$C$61)/Supuestos!$C$64/12),0)</f>
        <v>0</v>
      </c>
      <c r="AL26" s="57" t="n">
        <f aca="false">IF(AND(5&gt;=2,5&lt;=1+Supuestos!$C$64),MIN(AL25,(Supuestos!$C$59-Supuestos!$C$61)/Supuestos!$C$64/12),0)</f>
        <v>0</v>
      </c>
      <c r="AM26" s="57" t="n">
        <f aca="false">IF(AND(6&gt;=2,6&lt;=1+Supuestos!$C$64),MIN(AM25,(Supuestos!$C$59-Supuestos!$C$61)/Supuestos!$C$64/12),0)</f>
        <v>0</v>
      </c>
      <c r="AN26" s="57" t="n">
        <f aca="false">IF(AND(6&gt;=2,6&lt;=1+Supuestos!$C$64),MIN(AN25,(Supuestos!$C$59-Supuestos!$C$61)/Supuestos!$C$64/12),0)</f>
        <v>0</v>
      </c>
      <c r="AO26" s="57" t="n">
        <f aca="false">IF(AND(6&gt;=2,6&lt;=1+Supuestos!$C$64),MIN(AO25,(Supuestos!$C$59-Supuestos!$C$61)/Supuestos!$C$64/12),0)</f>
        <v>0</v>
      </c>
      <c r="AP26" s="57" t="n">
        <f aca="false">IF(AND(6&gt;=2,6&lt;=1+Supuestos!$C$64),MIN(AP25,(Supuestos!$C$59-Supuestos!$C$61)/Supuestos!$C$64/12),0)</f>
        <v>0</v>
      </c>
      <c r="AQ26" s="57" t="n">
        <f aca="false">IF(AND(6&gt;=2,6&lt;=1+Supuestos!$C$64),MIN(AQ25,(Supuestos!$C$59-Supuestos!$C$61)/Supuestos!$C$64/12),0)</f>
        <v>0</v>
      </c>
      <c r="AR26" s="57" t="n">
        <f aca="false">IF(AND(6&gt;=2,6&lt;=1+Supuestos!$C$64),MIN(AR25,(Supuestos!$C$59-Supuestos!$C$61)/Supuestos!$C$64/12),0)</f>
        <v>0</v>
      </c>
      <c r="AS26" s="57" t="n">
        <f aca="false">IF(AND(6&gt;=2,6&lt;=1+Supuestos!$C$64),MIN(AS25,(Supuestos!$C$59-Supuestos!$C$61)/Supuestos!$C$64/12),0)</f>
        <v>0</v>
      </c>
      <c r="AT26" s="57" t="n">
        <f aca="false">IF(AND(6&gt;=2,6&lt;=1+Supuestos!$C$64),MIN(AT25,(Supuestos!$C$59-Supuestos!$C$61)/Supuestos!$C$64/12),0)</f>
        <v>0</v>
      </c>
      <c r="AU26" s="57" t="n">
        <f aca="false">IF(AND(6&gt;=2,6&lt;=1+Supuestos!$C$64),MIN(AU25,(Supuestos!$C$59-Supuestos!$C$61)/Supuestos!$C$64/12),0)</f>
        <v>0</v>
      </c>
      <c r="AV26" s="57" t="n">
        <f aca="false">IF(AND(6&gt;=2,6&lt;=1+Supuestos!$C$64),MIN(AV25,(Supuestos!$C$59-Supuestos!$C$61)/Supuestos!$C$64/12),0)</f>
        <v>0</v>
      </c>
      <c r="AW26" s="57" t="n">
        <f aca="false">IF(AND(6&gt;=2,6&lt;=1+Supuestos!$C$64),MIN(AW25,(Supuestos!$C$59-Supuestos!$C$61)/Supuestos!$C$64/12),0)</f>
        <v>0</v>
      </c>
      <c r="AX26" s="57" t="n">
        <f aca="false">IF(AND(6&gt;=2,6&lt;=1+Supuestos!$C$64),MIN(AX25,(Supuestos!$C$59-Supuestos!$C$61)/Supuestos!$C$64/12),0)</f>
        <v>0</v>
      </c>
      <c r="AY26" s="57" t="n">
        <f aca="false">IF(AND(7&gt;=2,7&lt;=1+Supuestos!$C$64),MIN(AY25,(Supuestos!$C$59-Supuestos!$C$61)/Supuestos!$C$64/12),0)</f>
        <v>0</v>
      </c>
      <c r="AZ26" s="57" t="n">
        <f aca="false">IF(AND(7&gt;=2,7&lt;=1+Supuestos!$C$64),MIN(AZ25,(Supuestos!$C$59-Supuestos!$C$61)/Supuestos!$C$64/12),0)</f>
        <v>0</v>
      </c>
      <c r="BA26" s="57" t="n">
        <f aca="false">IF(AND(7&gt;=2,7&lt;=1+Supuestos!$C$64),MIN(BA25,(Supuestos!$C$59-Supuestos!$C$61)/Supuestos!$C$64/12),0)</f>
        <v>0</v>
      </c>
      <c r="BB26" s="57" t="n">
        <f aca="false">IF(AND(7&gt;=2,7&lt;=1+Supuestos!$C$64),MIN(BB25,(Supuestos!$C$59-Supuestos!$C$61)/Supuestos!$C$64/12),0)</f>
        <v>0</v>
      </c>
      <c r="BC26" s="57" t="n">
        <f aca="false">IF(AND(7&gt;=2,7&lt;=1+Supuestos!$C$64),MIN(BC25,(Supuestos!$C$59-Supuestos!$C$61)/Supuestos!$C$64/12),0)</f>
        <v>0</v>
      </c>
      <c r="BD26" s="57" t="n">
        <f aca="false">IF(AND(7&gt;=2,7&lt;=1+Supuestos!$C$64),MIN(BD25,(Supuestos!$C$59-Supuestos!$C$61)/Supuestos!$C$64/12),0)</f>
        <v>0</v>
      </c>
      <c r="BE26" s="57" t="n">
        <f aca="false">IF(AND(7&gt;=2,7&lt;=1+Supuestos!$C$64),MIN(BE25,(Supuestos!$C$59-Supuestos!$C$61)/Supuestos!$C$64/12),0)</f>
        <v>0</v>
      </c>
      <c r="BF26" s="57" t="n">
        <f aca="false">IF(AND(7&gt;=2,7&lt;=1+Supuestos!$C$64),MIN(BF25,(Supuestos!$C$59-Supuestos!$C$61)/Supuestos!$C$64/12),0)</f>
        <v>0</v>
      </c>
      <c r="BG26" s="57" t="n">
        <f aca="false">IF(AND(7&gt;=2,7&lt;=1+Supuestos!$C$64),MIN(BG25,(Supuestos!$C$59-Supuestos!$C$61)/Supuestos!$C$64/12),0)</f>
        <v>0</v>
      </c>
      <c r="BH26" s="57" t="n">
        <f aca="false">IF(AND(7&gt;=2,7&lt;=1+Supuestos!$C$64),MIN(BH25,(Supuestos!$C$59-Supuestos!$C$61)/Supuestos!$C$64/12),0)</f>
        <v>0</v>
      </c>
      <c r="BI26" s="57" t="n">
        <f aca="false">IF(AND(7&gt;=2,7&lt;=1+Supuestos!$C$64),MIN(BI25,(Supuestos!$C$59-Supuestos!$C$61)/Supuestos!$C$64/12),0)</f>
        <v>0</v>
      </c>
      <c r="BJ26" s="57" t="n">
        <f aca="false">IF(AND(7&gt;=2,7&lt;=1+Supuestos!$C$64),MIN(BJ25,(Supuestos!$C$59-Supuestos!$C$61)/Supuestos!$C$64/12),0)</f>
        <v>0</v>
      </c>
      <c r="BK26" s="57" t="n">
        <f aca="false">IF(AND(8&gt;=2,8&lt;=1+Supuestos!$C$64),MIN(BK25,(Supuestos!$C$59-Supuestos!$C$61)/Supuestos!$C$64/12),0)</f>
        <v>0</v>
      </c>
      <c r="BL26" s="57" t="n">
        <f aca="false">IF(AND(8&gt;=2,8&lt;=1+Supuestos!$C$64),MIN(BL25,(Supuestos!$C$59-Supuestos!$C$61)/Supuestos!$C$64/12),0)</f>
        <v>0</v>
      </c>
      <c r="BM26" s="57" t="n">
        <f aca="false">IF(AND(8&gt;=2,8&lt;=1+Supuestos!$C$64),MIN(BM25,(Supuestos!$C$59-Supuestos!$C$61)/Supuestos!$C$64/12),0)</f>
        <v>0</v>
      </c>
      <c r="BN26" s="57" t="n">
        <f aca="false">IF(AND(8&gt;=2,8&lt;=1+Supuestos!$C$64),MIN(BN25,(Supuestos!$C$59-Supuestos!$C$61)/Supuestos!$C$64/12),0)</f>
        <v>0</v>
      </c>
      <c r="BO26" s="57" t="n">
        <f aca="false">IF(AND(8&gt;=2,8&lt;=1+Supuestos!$C$64),MIN(BO25,(Supuestos!$C$59-Supuestos!$C$61)/Supuestos!$C$64/12),0)</f>
        <v>0</v>
      </c>
      <c r="BP26" s="57" t="n">
        <f aca="false">IF(AND(8&gt;=2,8&lt;=1+Supuestos!$C$64),MIN(BP25,(Supuestos!$C$59-Supuestos!$C$61)/Supuestos!$C$64/12),0)</f>
        <v>0</v>
      </c>
      <c r="BQ26" s="57" t="n">
        <f aca="false">IF(AND(8&gt;=2,8&lt;=1+Supuestos!$C$64),MIN(BQ25,(Supuestos!$C$59-Supuestos!$C$61)/Supuestos!$C$64/12),0)</f>
        <v>0</v>
      </c>
      <c r="BR26" s="57" t="n">
        <f aca="false">IF(AND(8&gt;=2,8&lt;=1+Supuestos!$C$64),MIN(BR25,(Supuestos!$C$59-Supuestos!$C$61)/Supuestos!$C$64/12),0)</f>
        <v>0</v>
      </c>
      <c r="BS26" s="57" t="n">
        <f aca="false">IF(AND(8&gt;=2,8&lt;=1+Supuestos!$C$64),MIN(BS25,(Supuestos!$C$59-Supuestos!$C$61)/Supuestos!$C$64/12),0)</f>
        <v>0</v>
      </c>
      <c r="BT26" s="57" t="n">
        <f aca="false">IF(AND(8&gt;=2,8&lt;=1+Supuestos!$C$64),MIN(BT25,(Supuestos!$C$59-Supuestos!$C$61)/Supuestos!$C$64/12),0)</f>
        <v>0</v>
      </c>
      <c r="BU26" s="57" t="n">
        <f aca="false">IF(AND(8&gt;=2,8&lt;=1+Supuestos!$C$64),MIN(BU25,(Supuestos!$C$59-Supuestos!$C$61)/Supuestos!$C$64/12),0)</f>
        <v>0</v>
      </c>
      <c r="BV26" s="57" t="n">
        <f aca="false">IF(AND(8&gt;=2,8&lt;=1+Supuestos!$C$64),MIN(BV25,(Supuestos!$C$59-Supuestos!$C$61)/Supuestos!$C$64/12),0)</f>
        <v>0</v>
      </c>
      <c r="BW26" s="57" t="n">
        <f aca="false">IF(AND(9&gt;=2,9&lt;=1+Supuestos!$C$64),MIN(BW25,(Supuestos!$C$59-Supuestos!$C$61)/Supuestos!$C$64/12),0)</f>
        <v>0</v>
      </c>
      <c r="BX26" s="57" t="n">
        <f aca="false">IF(AND(9&gt;=2,9&lt;=1+Supuestos!$C$64),MIN(BX25,(Supuestos!$C$59-Supuestos!$C$61)/Supuestos!$C$64/12),0)</f>
        <v>0</v>
      </c>
      <c r="BY26" s="57" t="n">
        <f aca="false">IF(AND(9&gt;=2,9&lt;=1+Supuestos!$C$64),MIN(BY25,(Supuestos!$C$59-Supuestos!$C$61)/Supuestos!$C$64/12),0)</f>
        <v>0</v>
      </c>
      <c r="BZ26" s="57" t="n">
        <f aca="false">IF(AND(9&gt;=2,9&lt;=1+Supuestos!$C$64),MIN(BZ25,(Supuestos!$C$59-Supuestos!$C$61)/Supuestos!$C$64/12),0)</f>
        <v>0</v>
      </c>
      <c r="CA26" s="57" t="n">
        <f aca="false">IF(AND(9&gt;=2,9&lt;=1+Supuestos!$C$64),MIN(CA25,(Supuestos!$C$59-Supuestos!$C$61)/Supuestos!$C$64/12),0)</f>
        <v>0</v>
      </c>
      <c r="CB26" s="57" t="n">
        <f aca="false">IF(AND(9&gt;=2,9&lt;=1+Supuestos!$C$64),MIN(CB25,(Supuestos!$C$59-Supuestos!$C$61)/Supuestos!$C$64/12),0)</f>
        <v>0</v>
      </c>
      <c r="CC26" s="57" t="n">
        <f aca="false">IF(AND(9&gt;=2,9&lt;=1+Supuestos!$C$64),MIN(CC25,(Supuestos!$C$59-Supuestos!$C$61)/Supuestos!$C$64/12),0)</f>
        <v>0</v>
      </c>
      <c r="CD26" s="57" t="n">
        <f aca="false">IF(AND(9&gt;=2,9&lt;=1+Supuestos!$C$64),MIN(CD25,(Supuestos!$C$59-Supuestos!$C$61)/Supuestos!$C$64/12),0)</f>
        <v>0</v>
      </c>
      <c r="CE26" s="57" t="n">
        <f aca="false">IF(AND(9&gt;=2,9&lt;=1+Supuestos!$C$64),MIN(CE25,(Supuestos!$C$59-Supuestos!$C$61)/Supuestos!$C$64/12),0)</f>
        <v>0</v>
      </c>
      <c r="CF26" s="57" t="n">
        <f aca="false">IF(AND(9&gt;=2,9&lt;=1+Supuestos!$C$64),MIN(CF25,(Supuestos!$C$59-Supuestos!$C$61)/Supuestos!$C$64/12),0)</f>
        <v>0</v>
      </c>
      <c r="CG26" s="57" t="n">
        <f aca="false">IF(AND(9&gt;=2,9&lt;=1+Supuestos!$C$64),MIN(CG25,(Supuestos!$C$59-Supuestos!$C$61)/Supuestos!$C$64/12),0)</f>
        <v>0</v>
      </c>
      <c r="CH26" s="57" t="n">
        <f aca="false">IF(AND(9&gt;=2,9&lt;=1+Supuestos!$C$64),MIN(CH25,(Supuestos!$C$59-Supuestos!$C$61)/Supuestos!$C$64/12),0)</f>
        <v>0</v>
      </c>
      <c r="CI26" s="57" t="n">
        <f aca="false">IF(AND(10&gt;=2,10&lt;=1+Supuestos!$C$64),MIN(CI25,(Supuestos!$C$59-Supuestos!$C$61)/Supuestos!$C$64/12),0)</f>
        <v>0</v>
      </c>
      <c r="CJ26" s="57" t="n">
        <f aca="false">IF(AND(10&gt;=2,10&lt;=1+Supuestos!$C$64),MIN(CJ25,(Supuestos!$C$59-Supuestos!$C$61)/Supuestos!$C$64/12),0)</f>
        <v>0</v>
      </c>
      <c r="CK26" s="57" t="n">
        <f aca="false">IF(AND(10&gt;=2,10&lt;=1+Supuestos!$C$64),MIN(CK25,(Supuestos!$C$59-Supuestos!$C$61)/Supuestos!$C$64/12),0)</f>
        <v>0</v>
      </c>
      <c r="CL26" s="57" t="n">
        <f aca="false">IF(AND(10&gt;=2,10&lt;=1+Supuestos!$C$64),MIN(CL25,(Supuestos!$C$59-Supuestos!$C$61)/Supuestos!$C$64/12),0)</f>
        <v>0</v>
      </c>
      <c r="CM26" s="57" t="n">
        <f aca="false">IF(AND(10&gt;=2,10&lt;=1+Supuestos!$C$64),MIN(CM25,(Supuestos!$C$59-Supuestos!$C$61)/Supuestos!$C$64/12),0)</f>
        <v>0</v>
      </c>
      <c r="CN26" s="57" t="n">
        <f aca="false">IF(AND(10&gt;=2,10&lt;=1+Supuestos!$C$64),MIN(CN25,(Supuestos!$C$59-Supuestos!$C$61)/Supuestos!$C$64/12),0)</f>
        <v>0</v>
      </c>
      <c r="CO26" s="57" t="n">
        <f aca="false">IF(AND(10&gt;=2,10&lt;=1+Supuestos!$C$64),MIN(CO25,(Supuestos!$C$59-Supuestos!$C$61)/Supuestos!$C$64/12),0)</f>
        <v>0</v>
      </c>
      <c r="CP26" s="57" t="n">
        <f aca="false">IF(AND(10&gt;=2,10&lt;=1+Supuestos!$C$64),MIN(CP25,(Supuestos!$C$59-Supuestos!$C$61)/Supuestos!$C$64/12),0)</f>
        <v>0</v>
      </c>
      <c r="CQ26" s="57" t="n">
        <f aca="false">IF(AND(10&gt;=2,10&lt;=1+Supuestos!$C$64),MIN(CQ25,(Supuestos!$C$59-Supuestos!$C$61)/Supuestos!$C$64/12),0)</f>
        <v>0</v>
      </c>
      <c r="CR26" s="57" t="n">
        <f aca="false">IF(AND(10&gt;=2,10&lt;=1+Supuestos!$C$64),MIN(CR25,(Supuestos!$C$59-Supuestos!$C$61)/Supuestos!$C$64/12),0)</f>
        <v>0</v>
      </c>
      <c r="CS26" s="57" t="n">
        <f aca="false">IF(AND(10&gt;=2,10&lt;=1+Supuestos!$C$64),MIN(CS25,(Supuestos!$C$59-Supuestos!$C$61)/Supuestos!$C$64/12),0)</f>
        <v>0</v>
      </c>
      <c r="CT26" s="57" t="n">
        <f aca="false">IF(AND(10&gt;=2,10&lt;=1+Supuestos!$C$64),MIN(CT25,(Supuestos!$C$59-Supuestos!$C$61)/Supuestos!$C$64/12),0)</f>
        <v>0</v>
      </c>
    </row>
    <row r="27" customFormat="false" ht="15" hidden="false" customHeight="false" outlineLevel="0" collapsed="false">
      <c r="A27" s="2"/>
      <c r="B27" s="46" t="s">
        <v>735</v>
      </c>
      <c r="C27" s="58" t="n">
        <f aca="false">C25-C26</f>
        <v>3560006498.11111</v>
      </c>
      <c r="D27" s="58" t="n">
        <f aca="false">D25-D26</f>
        <v>3405223606.88889</v>
      </c>
      <c r="E27" s="58" t="n">
        <f aca="false">E25-E26</f>
        <v>3250440715.66667</v>
      </c>
      <c r="F27" s="58" t="n">
        <f aca="false">F25-F26</f>
        <v>3095657824.44444</v>
      </c>
      <c r="G27" s="58" t="n">
        <f aca="false">G25-G26</f>
        <v>2940874933.22222</v>
      </c>
      <c r="H27" s="58" t="n">
        <f aca="false">H25-H26</f>
        <v>2786092042</v>
      </c>
      <c r="I27" s="58" t="n">
        <f aca="false">I25-I26</f>
        <v>2631309150.77778</v>
      </c>
      <c r="J27" s="58" t="n">
        <f aca="false">J25-J26</f>
        <v>2476526259.55555</v>
      </c>
      <c r="K27" s="58" t="n">
        <f aca="false">K25-K26</f>
        <v>2321743368.33333</v>
      </c>
      <c r="L27" s="58" t="n">
        <f aca="false">L25-L26</f>
        <v>2166960477.11111</v>
      </c>
      <c r="M27" s="58" t="n">
        <f aca="false">M25-M26</f>
        <v>2012177585.88889</v>
      </c>
      <c r="N27" s="58" t="n">
        <f aca="false">N25-N26</f>
        <v>1857394694.66667</v>
      </c>
      <c r="O27" s="58" t="n">
        <f aca="false">O25-O26</f>
        <v>1702611803.44444</v>
      </c>
      <c r="P27" s="58" t="n">
        <f aca="false">P25-P26</f>
        <v>1547828912.22222</v>
      </c>
      <c r="Q27" s="58" t="n">
        <f aca="false">Q25-Q26</f>
        <v>1393046021</v>
      </c>
      <c r="R27" s="58" t="n">
        <f aca="false">R25-R26</f>
        <v>1238263129.77778</v>
      </c>
      <c r="S27" s="58" t="n">
        <f aca="false">S25-S26</f>
        <v>1083480238.55555</v>
      </c>
      <c r="T27" s="58" t="n">
        <f aca="false">T25-T26</f>
        <v>928697347.333331</v>
      </c>
      <c r="U27" s="58" t="n">
        <f aca="false">U25-U26</f>
        <v>773914456.111109</v>
      </c>
      <c r="V27" s="58" t="n">
        <f aca="false">V25-V26</f>
        <v>619131564.888887</v>
      </c>
      <c r="W27" s="58" t="n">
        <f aca="false">W25-W26</f>
        <v>464348673.666665</v>
      </c>
      <c r="X27" s="58" t="n">
        <f aca="false">X25-X26</f>
        <v>309565782.444442</v>
      </c>
      <c r="Y27" s="58" t="n">
        <f aca="false">Y25-Y26</f>
        <v>154782891.22222</v>
      </c>
      <c r="Z27" s="58" t="n">
        <f aca="false">Z25-Z26</f>
        <v>0</v>
      </c>
      <c r="AA27" s="58" t="n">
        <f aca="false">AA25-AA26</f>
        <v>0</v>
      </c>
      <c r="AB27" s="58" t="n">
        <f aca="false">AB25-AB26</f>
        <v>0</v>
      </c>
      <c r="AC27" s="58" t="n">
        <f aca="false">AC25-AC26</f>
        <v>0</v>
      </c>
      <c r="AD27" s="58" t="n">
        <f aca="false">AD25-AD26</f>
        <v>0</v>
      </c>
      <c r="AE27" s="58" t="n">
        <f aca="false">AE25-AE26</f>
        <v>0</v>
      </c>
      <c r="AF27" s="58" t="n">
        <f aca="false">AF25-AF26</f>
        <v>0</v>
      </c>
      <c r="AG27" s="58" t="n">
        <f aca="false">AG25-AG26</f>
        <v>0</v>
      </c>
      <c r="AH27" s="58" t="n">
        <f aca="false">AH25-AH26</f>
        <v>0</v>
      </c>
      <c r="AI27" s="58" t="n">
        <f aca="false">AI25-AI26</f>
        <v>0</v>
      </c>
      <c r="AJ27" s="58" t="n">
        <f aca="false">AJ25-AJ26</f>
        <v>0</v>
      </c>
      <c r="AK27" s="58" t="n">
        <f aca="false">AK25-AK26</f>
        <v>0</v>
      </c>
      <c r="AL27" s="58" t="n">
        <f aca="false">AL25-AL26</f>
        <v>0</v>
      </c>
      <c r="AM27" s="58" t="n">
        <f aca="false">AM25-AM26</f>
        <v>0</v>
      </c>
      <c r="AN27" s="58" t="n">
        <f aca="false">AN25-AN26</f>
        <v>0</v>
      </c>
      <c r="AO27" s="58" t="n">
        <f aca="false">AO25-AO26</f>
        <v>0</v>
      </c>
      <c r="AP27" s="58" t="n">
        <f aca="false">AP25-AP26</f>
        <v>0</v>
      </c>
      <c r="AQ27" s="58" t="n">
        <f aca="false">AQ25-AQ26</f>
        <v>0</v>
      </c>
      <c r="AR27" s="58" t="n">
        <f aca="false">AR25-AR26</f>
        <v>0</v>
      </c>
      <c r="AS27" s="58" t="n">
        <f aca="false">AS25-AS26</f>
        <v>0</v>
      </c>
      <c r="AT27" s="58" t="n">
        <f aca="false">AT25-AT26</f>
        <v>0</v>
      </c>
      <c r="AU27" s="58" t="n">
        <f aca="false">AU25-AU26</f>
        <v>0</v>
      </c>
      <c r="AV27" s="58" t="n">
        <f aca="false">AV25-AV26</f>
        <v>0</v>
      </c>
      <c r="AW27" s="58" t="n">
        <f aca="false">AW25-AW26</f>
        <v>0</v>
      </c>
      <c r="AX27" s="58" t="n">
        <f aca="false">AX25-AX26</f>
        <v>0</v>
      </c>
      <c r="AY27" s="58" t="n">
        <f aca="false">AY25-AY26</f>
        <v>0</v>
      </c>
      <c r="AZ27" s="58" t="n">
        <f aca="false">AZ25-AZ26</f>
        <v>0</v>
      </c>
      <c r="BA27" s="58" t="n">
        <f aca="false">BA25-BA26</f>
        <v>0</v>
      </c>
      <c r="BB27" s="58" t="n">
        <f aca="false">BB25-BB26</f>
        <v>0</v>
      </c>
      <c r="BC27" s="58" t="n">
        <f aca="false">BC25-BC26</f>
        <v>0</v>
      </c>
      <c r="BD27" s="58" t="n">
        <f aca="false">BD25-BD26</f>
        <v>0</v>
      </c>
      <c r="BE27" s="58" t="n">
        <f aca="false">BE25-BE26</f>
        <v>0</v>
      </c>
      <c r="BF27" s="58" t="n">
        <f aca="false">BF25-BF26</f>
        <v>0</v>
      </c>
      <c r="BG27" s="58" t="n">
        <f aca="false">BG25-BG26</f>
        <v>0</v>
      </c>
      <c r="BH27" s="58" t="n">
        <f aca="false">BH25-BH26</f>
        <v>0</v>
      </c>
      <c r="BI27" s="58" t="n">
        <f aca="false">BI25-BI26</f>
        <v>0</v>
      </c>
      <c r="BJ27" s="58" t="n">
        <f aca="false">BJ25-BJ26</f>
        <v>0</v>
      </c>
      <c r="BK27" s="58" t="n">
        <f aca="false">BK25-BK26</f>
        <v>0</v>
      </c>
      <c r="BL27" s="58" t="n">
        <f aca="false">BL25-BL26</f>
        <v>0</v>
      </c>
      <c r="BM27" s="58" t="n">
        <f aca="false">BM25-BM26</f>
        <v>0</v>
      </c>
      <c r="BN27" s="58" t="n">
        <f aca="false">BN25-BN26</f>
        <v>0</v>
      </c>
      <c r="BO27" s="58" t="n">
        <f aca="false">BO25-BO26</f>
        <v>0</v>
      </c>
      <c r="BP27" s="58" t="n">
        <f aca="false">BP25-BP26</f>
        <v>0</v>
      </c>
      <c r="BQ27" s="58" t="n">
        <f aca="false">BQ25-BQ26</f>
        <v>0</v>
      </c>
      <c r="BR27" s="58" t="n">
        <f aca="false">BR25-BR26</f>
        <v>0</v>
      </c>
      <c r="BS27" s="58" t="n">
        <f aca="false">BS25-BS26</f>
        <v>0</v>
      </c>
      <c r="BT27" s="58" t="n">
        <f aca="false">BT25-BT26</f>
        <v>0</v>
      </c>
      <c r="BU27" s="58" t="n">
        <f aca="false">BU25-BU26</f>
        <v>0</v>
      </c>
      <c r="BV27" s="58" t="n">
        <f aca="false">BV25-BV26</f>
        <v>0</v>
      </c>
      <c r="BW27" s="58" t="n">
        <f aca="false">BW25-BW26</f>
        <v>0</v>
      </c>
      <c r="BX27" s="58" t="n">
        <f aca="false">BX25-BX26</f>
        <v>0</v>
      </c>
      <c r="BY27" s="58" t="n">
        <f aca="false">BY25-BY26</f>
        <v>0</v>
      </c>
      <c r="BZ27" s="58" t="n">
        <f aca="false">BZ25-BZ26</f>
        <v>0</v>
      </c>
      <c r="CA27" s="58" t="n">
        <f aca="false">CA25-CA26</f>
        <v>0</v>
      </c>
      <c r="CB27" s="58" t="n">
        <f aca="false">CB25-CB26</f>
        <v>0</v>
      </c>
      <c r="CC27" s="58" t="n">
        <f aca="false">CC25-CC26</f>
        <v>0</v>
      </c>
      <c r="CD27" s="58" t="n">
        <f aca="false">CD25-CD26</f>
        <v>0</v>
      </c>
      <c r="CE27" s="58" t="n">
        <f aca="false">CE25-CE26</f>
        <v>0</v>
      </c>
      <c r="CF27" s="58" t="n">
        <f aca="false">CF25-CF26</f>
        <v>0</v>
      </c>
      <c r="CG27" s="58" t="n">
        <f aca="false">CG25-CG26</f>
        <v>0</v>
      </c>
      <c r="CH27" s="58" t="n">
        <f aca="false">CH25-CH26</f>
        <v>0</v>
      </c>
      <c r="CI27" s="58" t="n">
        <f aca="false">CI25-CI26</f>
        <v>0</v>
      </c>
      <c r="CJ27" s="58" t="n">
        <f aca="false">CJ25-CJ26</f>
        <v>0</v>
      </c>
      <c r="CK27" s="58" t="n">
        <f aca="false">CK25-CK26</f>
        <v>0</v>
      </c>
      <c r="CL27" s="58" t="n">
        <f aca="false">CL25-CL26</f>
        <v>0</v>
      </c>
      <c r="CM27" s="58" t="n">
        <f aca="false">CM25-CM26</f>
        <v>0</v>
      </c>
      <c r="CN27" s="58" t="n">
        <f aca="false">CN25-CN26</f>
        <v>0</v>
      </c>
      <c r="CO27" s="58" t="n">
        <f aca="false">CO25-CO26</f>
        <v>0</v>
      </c>
      <c r="CP27" s="58" t="n">
        <f aca="false">CP25-CP26</f>
        <v>0</v>
      </c>
      <c r="CQ27" s="58" t="n">
        <f aca="false">CQ25-CQ26</f>
        <v>0</v>
      </c>
      <c r="CR27" s="58" t="n">
        <f aca="false">CR25-CR26</f>
        <v>0</v>
      </c>
      <c r="CS27" s="58" t="n">
        <f aca="false">CS25-CS26</f>
        <v>0</v>
      </c>
      <c r="CT27" s="58" t="n">
        <f aca="false">CT25-CT26</f>
        <v>0</v>
      </c>
    </row>
    <row r="28" customFormat="false" ht="15" hidden="false" customHeight="false" outlineLevel="0" collapsed="false">
      <c r="A28" s="2"/>
      <c r="B28" s="19" t="s">
        <v>736</v>
      </c>
      <c r="C28" s="57" t="n">
        <f aca="false">Supuestos!$C$104</f>
        <v>26250000000</v>
      </c>
      <c r="D28" s="57" t="n">
        <f aca="false">C30</f>
        <v>26250000000</v>
      </c>
      <c r="E28" s="57" t="n">
        <f aca="false">D30</f>
        <v>22500000000</v>
      </c>
      <c r="F28" s="57" t="n">
        <f aca="false">E30</f>
        <v>22500000000</v>
      </c>
      <c r="G28" s="57" t="n">
        <f aca="false">F30</f>
        <v>22500000000</v>
      </c>
      <c r="H28" s="57" t="n">
        <f aca="false">G30</f>
        <v>18750000000</v>
      </c>
      <c r="I28" s="57" t="n">
        <f aca="false">H30</f>
        <v>18750000000</v>
      </c>
      <c r="J28" s="57" t="n">
        <f aca="false">I30</f>
        <v>18750000000</v>
      </c>
      <c r="K28" s="57" t="n">
        <f aca="false">J30</f>
        <v>15000000000</v>
      </c>
      <c r="L28" s="57" t="n">
        <f aca="false">K30</f>
        <v>15000000000</v>
      </c>
      <c r="M28" s="57" t="n">
        <f aca="false">L30</f>
        <v>15000000000</v>
      </c>
      <c r="N28" s="57" t="n">
        <f aca="false">M30</f>
        <v>11250000000</v>
      </c>
      <c r="O28" s="57" t="n">
        <f aca="false">N30</f>
        <v>11250000000</v>
      </c>
      <c r="P28" s="57" t="n">
        <f aca="false">O30</f>
        <v>11250000000</v>
      </c>
      <c r="Q28" s="57" t="n">
        <f aca="false">P30</f>
        <v>7500000000</v>
      </c>
      <c r="R28" s="57" t="n">
        <f aca="false">Q30</f>
        <v>7500000000</v>
      </c>
      <c r="S28" s="57" t="n">
        <f aca="false">R30</f>
        <v>7500000000</v>
      </c>
      <c r="T28" s="57" t="n">
        <f aca="false">S30</f>
        <v>3750000000</v>
      </c>
      <c r="U28" s="57" t="n">
        <f aca="false">T30</f>
        <v>3750000000</v>
      </c>
      <c r="V28" s="57" t="n">
        <f aca="false">U30</f>
        <v>3750000000</v>
      </c>
      <c r="W28" s="57" t="n">
        <f aca="false">V30</f>
        <v>0</v>
      </c>
      <c r="X28" s="57" t="n">
        <f aca="false">W30</f>
        <v>0</v>
      </c>
      <c r="Y28" s="57" t="n">
        <f aca="false">X30</f>
        <v>0</v>
      </c>
      <c r="Z28" s="57" t="n">
        <f aca="false">Y30</f>
        <v>0</v>
      </c>
      <c r="AA28" s="57" t="n">
        <f aca="false">Z30</f>
        <v>0</v>
      </c>
      <c r="AB28" s="57" t="n">
        <f aca="false">AA30</f>
        <v>0</v>
      </c>
      <c r="AC28" s="57" t="n">
        <f aca="false">AB30</f>
        <v>0</v>
      </c>
      <c r="AD28" s="57" t="n">
        <f aca="false">AC30</f>
        <v>0</v>
      </c>
      <c r="AE28" s="57" t="n">
        <f aca="false">AD30</f>
        <v>0</v>
      </c>
      <c r="AF28" s="57" t="n">
        <f aca="false">AE30</f>
        <v>0</v>
      </c>
      <c r="AG28" s="57" t="n">
        <f aca="false">AF30</f>
        <v>0</v>
      </c>
      <c r="AH28" s="57" t="n">
        <f aca="false">AG30</f>
        <v>0</v>
      </c>
      <c r="AI28" s="57" t="n">
        <f aca="false">AH30</f>
        <v>0</v>
      </c>
      <c r="AJ28" s="57" t="n">
        <f aca="false">AI30</f>
        <v>0</v>
      </c>
      <c r="AK28" s="57" t="n">
        <f aca="false">AJ30</f>
        <v>0</v>
      </c>
      <c r="AL28" s="57" t="n">
        <f aca="false">AK30</f>
        <v>0</v>
      </c>
      <c r="AM28" s="57" t="n">
        <f aca="false">AL30</f>
        <v>0</v>
      </c>
      <c r="AN28" s="57" t="n">
        <f aca="false">AM30</f>
        <v>0</v>
      </c>
      <c r="AO28" s="57" t="n">
        <f aca="false">AN30</f>
        <v>0</v>
      </c>
      <c r="AP28" s="57" t="n">
        <f aca="false">AO30</f>
        <v>0</v>
      </c>
      <c r="AQ28" s="57" t="n">
        <f aca="false">AP30</f>
        <v>0</v>
      </c>
      <c r="AR28" s="57" t="n">
        <f aca="false">AQ30</f>
        <v>0</v>
      </c>
      <c r="AS28" s="57" t="n">
        <f aca="false">AR30</f>
        <v>0</v>
      </c>
      <c r="AT28" s="57" t="n">
        <f aca="false">AS30</f>
        <v>0</v>
      </c>
      <c r="AU28" s="57" t="n">
        <f aca="false">AT30</f>
        <v>0</v>
      </c>
      <c r="AV28" s="57" t="n">
        <f aca="false">AU30</f>
        <v>0</v>
      </c>
      <c r="AW28" s="57" t="n">
        <f aca="false">AV30</f>
        <v>0</v>
      </c>
      <c r="AX28" s="57" t="n">
        <f aca="false">AW30</f>
        <v>0</v>
      </c>
      <c r="AY28" s="57" t="n">
        <f aca="false">AX30</f>
        <v>0</v>
      </c>
      <c r="AZ28" s="57" t="n">
        <f aca="false">AY30</f>
        <v>0</v>
      </c>
      <c r="BA28" s="57" t="n">
        <f aca="false">AZ30</f>
        <v>0</v>
      </c>
      <c r="BB28" s="57" t="n">
        <f aca="false">BA30</f>
        <v>0</v>
      </c>
      <c r="BC28" s="57" t="n">
        <f aca="false">BB30</f>
        <v>0</v>
      </c>
      <c r="BD28" s="57" t="n">
        <f aca="false">BC30</f>
        <v>0</v>
      </c>
      <c r="BE28" s="57" t="n">
        <f aca="false">BD30</f>
        <v>0</v>
      </c>
      <c r="BF28" s="57" t="n">
        <f aca="false">BE30</f>
        <v>0</v>
      </c>
      <c r="BG28" s="57" t="n">
        <f aca="false">BF30</f>
        <v>0</v>
      </c>
      <c r="BH28" s="57" t="n">
        <f aca="false">BG30</f>
        <v>0</v>
      </c>
      <c r="BI28" s="57" t="n">
        <f aca="false">BH30</f>
        <v>0</v>
      </c>
      <c r="BJ28" s="57" t="n">
        <f aca="false">BI30</f>
        <v>0</v>
      </c>
      <c r="BK28" s="57" t="n">
        <f aca="false">BJ30</f>
        <v>0</v>
      </c>
      <c r="BL28" s="57" t="n">
        <f aca="false">BK30</f>
        <v>0</v>
      </c>
      <c r="BM28" s="57" t="n">
        <f aca="false">BL30</f>
        <v>0</v>
      </c>
      <c r="BN28" s="57" t="n">
        <f aca="false">BM30</f>
        <v>0</v>
      </c>
      <c r="BO28" s="57" t="n">
        <f aca="false">BN30</f>
        <v>0</v>
      </c>
      <c r="BP28" s="57" t="n">
        <f aca="false">BO30</f>
        <v>0</v>
      </c>
      <c r="BQ28" s="57" t="n">
        <f aca="false">BP30</f>
        <v>0</v>
      </c>
      <c r="BR28" s="57" t="n">
        <f aca="false">BQ30</f>
        <v>0</v>
      </c>
      <c r="BS28" s="57" t="n">
        <f aca="false">BR30</f>
        <v>0</v>
      </c>
      <c r="BT28" s="57" t="n">
        <f aca="false">BS30</f>
        <v>0</v>
      </c>
      <c r="BU28" s="57" t="n">
        <f aca="false">BT30</f>
        <v>0</v>
      </c>
      <c r="BV28" s="57" t="n">
        <f aca="false">BU30</f>
        <v>0</v>
      </c>
      <c r="BW28" s="57" t="n">
        <f aca="false">BV30</f>
        <v>0</v>
      </c>
      <c r="BX28" s="57" t="n">
        <f aca="false">BW30</f>
        <v>0</v>
      </c>
      <c r="BY28" s="57" t="n">
        <f aca="false">BX30</f>
        <v>0</v>
      </c>
      <c r="BZ28" s="57" t="n">
        <f aca="false">BY30</f>
        <v>0</v>
      </c>
      <c r="CA28" s="57" t="n">
        <f aca="false">BZ30</f>
        <v>0</v>
      </c>
      <c r="CB28" s="57" t="n">
        <f aca="false">CA30</f>
        <v>0</v>
      </c>
      <c r="CC28" s="57" t="n">
        <f aca="false">CB30</f>
        <v>0</v>
      </c>
      <c r="CD28" s="57" t="n">
        <f aca="false">CC30</f>
        <v>0</v>
      </c>
      <c r="CE28" s="57" t="n">
        <f aca="false">CD30</f>
        <v>0</v>
      </c>
      <c r="CF28" s="57" t="n">
        <f aca="false">CE30</f>
        <v>0</v>
      </c>
      <c r="CG28" s="57" t="n">
        <f aca="false">CF30</f>
        <v>0</v>
      </c>
      <c r="CH28" s="57" t="n">
        <f aca="false">CG30</f>
        <v>0</v>
      </c>
      <c r="CI28" s="57" t="n">
        <f aca="false">CH30</f>
        <v>0</v>
      </c>
      <c r="CJ28" s="57" t="n">
        <f aca="false">CI30</f>
        <v>0</v>
      </c>
      <c r="CK28" s="57" t="n">
        <f aca="false">CJ30</f>
        <v>0</v>
      </c>
      <c r="CL28" s="57" t="n">
        <f aca="false">CK30</f>
        <v>0</v>
      </c>
      <c r="CM28" s="57" t="n">
        <f aca="false">CL30</f>
        <v>0</v>
      </c>
      <c r="CN28" s="57" t="n">
        <f aca="false">CM30</f>
        <v>0</v>
      </c>
      <c r="CO28" s="57" t="n">
        <f aca="false">CN30</f>
        <v>0</v>
      </c>
      <c r="CP28" s="57" t="n">
        <f aca="false">CO30</f>
        <v>0</v>
      </c>
      <c r="CQ28" s="57" t="n">
        <f aca="false">CP30</f>
        <v>0</v>
      </c>
      <c r="CR28" s="57" t="n">
        <f aca="false">CQ30</f>
        <v>0</v>
      </c>
      <c r="CS28" s="57" t="n">
        <f aca="false">CR30</f>
        <v>0</v>
      </c>
      <c r="CT28" s="57" t="n">
        <f aca="false">CS30</f>
        <v>0</v>
      </c>
    </row>
    <row r="29" customFormat="false" ht="15" hidden="false" customHeight="false" outlineLevel="0" collapsed="false">
      <c r="A29" s="2"/>
      <c r="B29" s="19" t="s">
        <v>737</v>
      </c>
      <c r="C29" s="57" t="n">
        <f aca="false">IF(MOD(1-(Supuestos!$C$103-16),3)=0,MIN(C28,Supuestos!$C$100/Supuestos!$C$102),0)</f>
        <v>0</v>
      </c>
      <c r="D29" s="57" t="n">
        <f aca="false">IF(MOD(2-(Supuestos!$C$103-16),3)=0,MIN(D28,Supuestos!$C$100/Supuestos!$C$102),0)</f>
        <v>3750000000</v>
      </c>
      <c r="E29" s="57" t="n">
        <f aca="false">IF(MOD(3-(Supuestos!$C$103-16),3)=0,MIN(E28,Supuestos!$C$100/Supuestos!$C$102),0)</f>
        <v>0</v>
      </c>
      <c r="F29" s="57" t="n">
        <f aca="false">IF(MOD(4-(Supuestos!$C$103-16),3)=0,MIN(F28,Supuestos!$C$100/Supuestos!$C$102),0)</f>
        <v>0</v>
      </c>
      <c r="G29" s="57" t="n">
        <f aca="false">IF(MOD(5-(Supuestos!$C$103-16),3)=0,MIN(G28,Supuestos!$C$100/Supuestos!$C$102),0)</f>
        <v>3750000000</v>
      </c>
      <c r="H29" s="57" t="n">
        <f aca="false">IF(MOD(6-(Supuestos!$C$103-16),3)=0,MIN(H28,Supuestos!$C$100/Supuestos!$C$102),0)</f>
        <v>0</v>
      </c>
      <c r="I29" s="57" t="n">
        <f aca="false">IF(MOD(7-(Supuestos!$C$103-16),3)=0,MIN(I28,Supuestos!$C$100/Supuestos!$C$102),0)</f>
        <v>0</v>
      </c>
      <c r="J29" s="57" t="n">
        <f aca="false">IF(MOD(8-(Supuestos!$C$103-16),3)=0,MIN(J28,Supuestos!$C$100/Supuestos!$C$102),0)</f>
        <v>3750000000</v>
      </c>
      <c r="K29" s="57" t="n">
        <f aca="false">IF(MOD(9-(Supuestos!$C$103-16),3)=0,MIN(K28,Supuestos!$C$100/Supuestos!$C$102),0)</f>
        <v>0</v>
      </c>
      <c r="L29" s="57" t="n">
        <f aca="false">IF(MOD(10-(Supuestos!$C$103-16),3)=0,MIN(L28,Supuestos!$C$100/Supuestos!$C$102),0)</f>
        <v>0</v>
      </c>
      <c r="M29" s="57" t="n">
        <f aca="false">IF(MOD(11-(Supuestos!$C$103-16),3)=0,MIN(M28,Supuestos!$C$100/Supuestos!$C$102),0)</f>
        <v>3750000000</v>
      </c>
      <c r="N29" s="57" t="n">
        <f aca="false">IF(MOD(12-(Supuestos!$C$103-16),3)=0,MIN(N28,Supuestos!$C$100/Supuestos!$C$102),0)</f>
        <v>0</v>
      </c>
      <c r="O29" s="57" t="n">
        <f aca="false">IF(MOD(13-(Supuestos!$C$103-16),3)=0,MIN(O28,Supuestos!$C$100/Supuestos!$C$102),0)</f>
        <v>0</v>
      </c>
      <c r="P29" s="57" t="n">
        <f aca="false">IF(MOD(14-(Supuestos!$C$103-16),3)=0,MIN(P28,Supuestos!$C$100/Supuestos!$C$102),0)</f>
        <v>3750000000</v>
      </c>
      <c r="Q29" s="57" t="n">
        <f aca="false">IF(MOD(15-(Supuestos!$C$103-16),3)=0,MIN(Q28,Supuestos!$C$100/Supuestos!$C$102),0)</f>
        <v>0</v>
      </c>
      <c r="R29" s="57" t="n">
        <f aca="false">IF(MOD(16-(Supuestos!$C$103-16),3)=0,MIN(R28,Supuestos!$C$100/Supuestos!$C$102),0)</f>
        <v>0</v>
      </c>
      <c r="S29" s="57" t="n">
        <f aca="false">IF(MOD(17-(Supuestos!$C$103-16),3)=0,MIN(S28,Supuestos!$C$100/Supuestos!$C$102),0)</f>
        <v>3750000000</v>
      </c>
      <c r="T29" s="57" t="n">
        <f aca="false">IF(MOD(18-(Supuestos!$C$103-16),3)=0,MIN(T28,Supuestos!$C$100/Supuestos!$C$102),0)</f>
        <v>0</v>
      </c>
      <c r="U29" s="57" t="n">
        <f aca="false">IF(MOD(19-(Supuestos!$C$103-16),3)=0,MIN(U28,Supuestos!$C$100/Supuestos!$C$102),0)</f>
        <v>0</v>
      </c>
      <c r="V29" s="57" t="n">
        <f aca="false">IF(MOD(20-(Supuestos!$C$103-16),3)=0,MIN(V28,Supuestos!$C$100/Supuestos!$C$102),0)</f>
        <v>3750000000</v>
      </c>
      <c r="W29" s="57" t="n">
        <f aca="false">IF(MOD(21-(Supuestos!$C$103-16),3)=0,MIN(W28,Supuestos!$C$100/Supuestos!$C$102),0)</f>
        <v>0</v>
      </c>
      <c r="X29" s="57" t="n">
        <f aca="false">IF(MOD(22-(Supuestos!$C$103-16),3)=0,MIN(X28,Supuestos!$C$100/Supuestos!$C$102),0)</f>
        <v>0</v>
      </c>
      <c r="Y29" s="57" t="n">
        <f aca="false">IF(MOD(23-(Supuestos!$C$103-16),3)=0,MIN(Y28,Supuestos!$C$100/Supuestos!$C$102),0)</f>
        <v>0</v>
      </c>
      <c r="Z29" s="57" t="n">
        <f aca="false">IF(MOD(24-(Supuestos!$C$103-16),3)=0,MIN(Z28,Supuestos!$C$100/Supuestos!$C$102),0)</f>
        <v>0</v>
      </c>
      <c r="AA29" s="57" t="n">
        <f aca="false">IF(MOD(25-(Supuestos!$C$103-16),3)=0,MIN(AA28,Supuestos!$C$100/Supuestos!$C$102),0)</f>
        <v>0</v>
      </c>
      <c r="AB29" s="57" t="n">
        <f aca="false">IF(MOD(26-(Supuestos!$C$103-16),3)=0,MIN(AB28,Supuestos!$C$100/Supuestos!$C$102),0)</f>
        <v>0</v>
      </c>
      <c r="AC29" s="57" t="n">
        <f aca="false">IF(MOD(27-(Supuestos!$C$103-16),3)=0,MIN(AC28,Supuestos!$C$100/Supuestos!$C$102),0)</f>
        <v>0</v>
      </c>
      <c r="AD29" s="57" t="n">
        <f aca="false">IF(MOD(28-(Supuestos!$C$103-16),3)=0,MIN(AD28,Supuestos!$C$100/Supuestos!$C$102),0)</f>
        <v>0</v>
      </c>
      <c r="AE29" s="57" t="n">
        <f aca="false">IF(MOD(29-(Supuestos!$C$103-16),3)=0,MIN(AE28,Supuestos!$C$100/Supuestos!$C$102),0)</f>
        <v>0</v>
      </c>
      <c r="AF29" s="57" t="n">
        <f aca="false">IF(MOD(30-(Supuestos!$C$103-16),3)=0,MIN(AF28,Supuestos!$C$100/Supuestos!$C$102),0)</f>
        <v>0</v>
      </c>
      <c r="AG29" s="57" t="n">
        <f aca="false">IF(MOD(31-(Supuestos!$C$103-16),3)=0,MIN(AG28,Supuestos!$C$100/Supuestos!$C$102),0)</f>
        <v>0</v>
      </c>
      <c r="AH29" s="57" t="n">
        <f aca="false">IF(MOD(32-(Supuestos!$C$103-16),3)=0,MIN(AH28,Supuestos!$C$100/Supuestos!$C$102),0)</f>
        <v>0</v>
      </c>
      <c r="AI29" s="57" t="n">
        <f aca="false">IF(MOD(33-(Supuestos!$C$103-16),3)=0,MIN(AI28,Supuestos!$C$100/Supuestos!$C$102),0)</f>
        <v>0</v>
      </c>
      <c r="AJ29" s="57" t="n">
        <f aca="false">IF(MOD(34-(Supuestos!$C$103-16),3)=0,MIN(AJ28,Supuestos!$C$100/Supuestos!$C$102),0)</f>
        <v>0</v>
      </c>
      <c r="AK29" s="57" t="n">
        <f aca="false">IF(MOD(35-(Supuestos!$C$103-16),3)=0,MIN(AK28,Supuestos!$C$100/Supuestos!$C$102),0)</f>
        <v>0</v>
      </c>
      <c r="AL29" s="57" t="n">
        <f aca="false">IF(MOD(36-(Supuestos!$C$103-16),3)=0,MIN(AL28,Supuestos!$C$100/Supuestos!$C$102),0)</f>
        <v>0</v>
      </c>
      <c r="AM29" s="57" t="n">
        <f aca="false">IF(MOD(37-(Supuestos!$C$103-16),3)=0,MIN(AM28,Supuestos!$C$100/Supuestos!$C$102),0)</f>
        <v>0</v>
      </c>
      <c r="AN29" s="57" t="n">
        <f aca="false">IF(MOD(38-(Supuestos!$C$103-16),3)=0,MIN(AN28,Supuestos!$C$100/Supuestos!$C$102),0)</f>
        <v>0</v>
      </c>
      <c r="AO29" s="57" t="n">
        <f aca="false">IF(MOD(39-(Supuestos!$C$103-16),3)=0,MIN(AO28,Supuestos!$C$100/Supuestos!$C$102),0)</f>
        <v>0</v>
      </c>
      <c r="AP29" s="57" t="n">
        <f aca="false">IF(MOD(40-(Supuestos!$C$103-16),3)=0,MIN(AP28,Supuestos!$C$100/Supuestos!$C$102),0)</f>
        <v>0</v>
      </c>
      <c r="AQ29" s="57" t="n">
        <f aca="false">IF(MOD(41-(Supuestos!$C$103-16),3)=0,MIN(AQ28,Supuestos!$C$100/Supuestos!$C$102),0)</f>
        <v>0</v>
      </c>
      <c r="AR29" s="57" t="n">
        <f aca="false">IF(MOD(42-(Supuestos!$C$103-16),3)=0,MIN(AR28,Supuestos!$C$100/Supuestos!$C$102),0)</f>
        <v>0</v>
      </c>
      <c r="AS29" s="57" t="n">
        <f aca="false">IF(MOD(43-(Supuestos!$C$103-16),3)=0,MIN(AS28,Supuestos!$C$100/Supuestos!$C$102),0)</f>
        <v>0</v>
      </c>
      <c r="AT29" s="57" t="n">
        <f aca="false">IF(MOD(44-(Supuestos!$C$103-16),3)=0,MIN(AT28,Supuestos!$C$100/Supuestos!$C$102),0)</f>
        <v>0</v>
      </c>
      <c r="AU29" s="57" t="n">
        <f aca="false">IF(MOD(45-(Supuestos!$C$103-16),3)=0,MIN(AU28,Supuestos!$C$100/Supuestos!$C$102),0)</f>
        <v>0</v>
      </c>
      <c r="AV29" s="57" t="n">
        <f aca="false">IF(MOD(46-(Supuestos!$C$103-16),3)=0,MIN(AV28,Supuestos!$C$100/Supuestos!$C$102),0)</f>
        <v>0</v>
      </c>
      <c r="AW29" s="57" t="n">
        <f aca="false">IF(MOD(47-(Supuestos!$C$103-16),3)=0,MIN(AW28,Supuestos!$C$100/Supuestos!$C$102),0)</f>
        <v>0</v>
      </c>
      <c r="AX29" s="57" t="n">
        <f aca="false">IF(MOD(48-(Supuestos!$C$103-16),3)=0,MIN(AX28,Supuestos!$C$100/Supuestos!$C$102),0)</f>
        <v>0</v>
      </c>
      <c r="AY29" s="57" t="n">
        <f aca="false">IF(MOD(49-(Supuestos!$C$103-16),3)=0,MIN(AY28,Supuestos!$C$100/Supuestos!$C$102),0)</f>
        <v>0</v>
      </c>
      <c r="AZ29" s="57" t="n">
        <f aca="false">IF(MOD(50-(Supuestos!$C$103-16),3)=0,MIN(AZ28,Supuestos!$C$100/Supuestos!$C$102),0)</f>
        <v>0</v>
      </c>
      <c r="BA29" s="57" t="n">
        <f aca="false">IF(MOD(51-(Supuestos!$C$103-16),3)=0,MIN(BA28,Supuestos!$C$100/Supuestos!$C$102),0)</f>
        <v>0</v>
      </c>
      <c r="BB29" s="57" t="n">
        <f aca="false">IF(MOD(52-(Supuestos!$C$103-16),3)=0,MIN(BB28,Supuestos!$C$100/Supuestos!$C$102),0)</f>
        <v>0</v>
      </c>
      <c r="BC29" s="57" t="n">
        <f aca="false">IF(MOD(53-(Supuestos!$C$103-16),3)=0,MIN(BC28,Supuestos!$C$100/Supuestos!$C$102),0)</f>
        <v>0</v>
      </c>
      <c r="BD29" s="57" t="n">
        <f aca="false">IF(MOD(54-(Supuestos!$C$103-16),3)=0,MIN(BD28,Supuestos!$C$100/Supuestos!$C$102),0)</f>
        <v>0</v>
      </c>
      <c r="BE29" s="57" t="n">
        <f aca="false">IF(MOD(55-(Supuestos!$C$103-16),3)=0,MIN(BE28,Supuestos!$C$100/Supuestos!$C$102),0)</f>
        <v>0</v>
      </c>
      <c r="BF29" s="57" t="n">
        <f aca="false">IF(MOD(56-(Supuestos!$C$103-16),3)=0,MIN(BF28,Supuestos!$C$100/Supuestos!$C$102),0)</f>
        <v>0</v>
      </c>
      <c r="BG29" s="57" t="n">
        <f aca="false">IF(MOD(57-(Supuestos!$C$103-16),3)=0,MIN(BG28,Supuestos!$C$100/Supuestos!$C$102),0)</f>
        <v>0</v>
      </c>
      <c r="BH29" s="57" t="n">
        <f aca="false">IF(MOD(58-(Supuestos!$C$103-16),3)=0,MIN(BH28,Supuestos!$C$100/Supuestos!$C$102),0)</f>
        <v>0</v>
      </c>
      <c r="BI29" s="57" t="n">
        <f aca="false">IF(MOD(59-(Supuestos!$C$103-16),3)=0,MIN(BI28,Supuestos!$C$100/Supuestos!$C$102),0)</f>
        <v>0</v>
      </c>
      <c r="BJ29" s="57" t="n">
        <f aca="false">IF(MOD(60-(Supuestos!$C$103-16),3)=0,MIN(BJ28,Supuestos!$C$100/Supuestos!$C$102),0)</f>
        <v>0</v>
      </c>
      <c r="BK29" s="57" t="n">
        <f aca="false">IF(MOD(61-(Supuestos!$C$103-16),3)=0,MIN(BK28,Supuestos!$C$100/Supuestos!$C$102),0)</f>
        <v>0</v>
      </c>
      <c r="BL29" s="57" t="n">
        <f aca="false">IF(MOD(62-(Supuestos!$C$103-16),3)=0,MIN(BL28,Supuestos!$C$100/Supuestos!$C$102),0)</f>
        <v>0</v>
      </c>
      <c r="BM29" s="57" t="n">
        <f aca="false">IF(MOD(63-(Supuestos!$C$103-16),3)=0,MIN(BM28,Supuestos!$C$100/Supuestos!$C$102),0)</f>
        <v>0</v>
      </c>
      <c r="BN29" s="57" t="n">
        <f aca="false">IF(MOD(64-(Supuestos!$C$103-16),3)=0,MIN(BN28,Supuestos!$C$100/Supuestos!$C$102),0)</f>
        <v>0</v>
      </c>
      <c r="BO29" s="57" t="n">
        <f aca="false">IF(MOD(65-(Supuestos!$C$103-16),3)=0,MIN(BO28,Supuestos!$C$100/Supuestos!$C$102),0)</f>
        <v>0</v>
      </c>
      <c r="BP29" s="57" t="n">
        <f aca="false">IF(MOD(66-(Supuestos!$C$103-16),3)=0,MIN(BP28,Supuestos!$C$100/Supuestos!$C$102),0)</f>
        <v>0</v>
      </c>
      <c r="BQ29" s="57" t="n">
        <f aca="false">IF(MOD(67-(Supuestos!$C$103-16),3)=0,MIN(BQ28,Supuestos!$C$100/Supuestos!$C$102),0)</f>
        <v>0</v>
      </c>
      <c r="BR29" s="57" t="n">
        <f aca="false">IF(MOD(68-(Supuestos!$C$103-16),3)=0,MIN(BR28,Supuestos!$C$100/Supuestos!$C$102),0)</f>
        <v>0</v>
      </c>
      <c r="BS29" s="57" t="n">
        <f aca="false">IF(MOD(69-(Supuestos!$C$103-16),3)=0,MIN(BS28,Supuestos!$C$100/Supuestos!$C$102),0)</f>
        <v>0</v>
      </c>
      <c r="BT29" s="57" t="n">
        <f aca="false">IF(MOD(70-(Supuestos!$C$103-16),3)=0,MIN(BT28,Supuestos!$C$100/Supuestos!$C$102),0)</f>
        <v>0</v>
      </c>
      <c r="BU29" s="57" t="n">
        <f aca="false">IF(MOD(71-(Supuestos!$C$103-16),3)=0,MIN(BU28,Supuestos!$C$100/Supuestos!$C$102),0)</f>
        <v>0</v>
      </c>
      <c r="BV29" s="57" t="n">
        <f aca="false">IF(MOD(72-(Supuestos!$C$103-16),3)=0,MIN(BV28,Supuestos!$C$100/Supuestos!$C$102),0)</f>
        <v>0</v>
      </c>
      <c r="BW29" s="57" t="n">
        <f aca="false">IF(MOD(73-(Supuestos!$C$103-16),3)=0,MIN(BW28,Supuestos!$C$100/Supuestos!$C$102),0)</f>
        <v>0</v>
      </c>
      <c r="BX29" s="57" t="n">
        <f aca="false">IF(MOD(74-(Supuestos!$C$103-16),3)=0,MIN(BX28,Supuestos!$C$100/Supuestos!$C$102),0)</f>
        <v>0</v>
      </c>
      <c r="BY29" s="57" t="n">
        <f aca="false">IF(MOD(75-(Supuestos!$C$103-16),3)=0,MIN(BY28,Supuestos!$C$100/Supuestos!$C$102),0)</f>
        <v>0</v>
      </c>
      <c r="BZ29" s="57" t="n">
        <f aca="false">IF(MOD(76-(Supuestos!$C$103-16),3)=0,MIN(BZ28,Supuestos!$C$100/Supuestos!$C$102),0)</f>
        <v>0</v>
      </c>
      <c r="CA29" s="57" t="n">
        <f aca="false">IF(MOD(77-(Supuestos!$C$103-16),3)=0,MIN(CA28,Supuestos!$C$100/Supuestos!$C$102),0)</f>
        <v>0</v>
      </c>
      <c r="CB29" s="57" t="n">
        <f aca="false">IF(MOD(78-(Supuestos!$C$103-16),3)=0,MIN(CB28,Supuestos!$C$100/Supuestos!$C$102),0)</f>
        <v>0</v>
      </c>
      <c r="CC29" s="57" t="n">
        <f aca="false">IF(MOD(79-(Supuestos!$C$103-16),3)=0,MIN(CC28,Supuestos!$C$100/Supuestos!$C$102),0)</f>
        <v>0</v>
      </c>
      <c r="CD29" s="57" t="n">
        <f aca="false">IF(MOD(80-(Supuestos!$C$103-16),3)=0,MIN(CD28,Supuestos!$C$100/Supuestos!$C$102),0)</f>
        <v>0</v>
      </c>
      <c r="CE29" s="57" t="n">
        <f aca="false">IF(MOD(81-(Supuestos!$C$103-16),3)=0,MIN(CE28,Supuestos!$C$100/Supuestos!$C$102),0)</f>
        <v>0</v>
      </c>
      <c r="CF29" s="57" t="n">
        <f aca="false">IF(MOD(82-(Supuestos!$C$103-16),3)=0,MIN(CF28,Supuestos!$C$100/Supuestos!$C$102),0)</f>
        <v>0</v>
      </c>
      <c r="CG29" s="57" t="n">
        <f aca="false">IF(MOD(83-(Supuestos!$C$103-16),3)=0,MIN(CG28,Supuestos!$C$100/Supuestos!$C$102),0)</f>
        <v>0</v>
      </c>
      <c r="CH29" s="57" t="n">
        <f aca="false">IF(MOD(84-(Supuestos!$C$103-16),3)=0,MIN(CH28,Supuestos!$C$100/Supuestos!$C$102),0)</f>
        <v>0</v>
      </c>
      <c r="CI29" s="57" t="n">
        <f aca="false">IF(MOD(85-(Supuestos!$C$103-16),3)=0,MIN(CI28,Supuestos!$C$100/Supuestos!$C$102),0)</f>
        <v>0</v>
      </c>
      <c r="CJ29" s="57" t="n">
        <f aca="false">IF(MOD(86-(Supuestos!$C$103-16),3)=0,MIN(CJ28,Supuestos!$C$100/Supuestos!$C$102),0)</f>
        <v>0</v>
      </c>
      <c r="CK29" s="57" t="n">
        <f aca="false">IF(MOD(87-(Supuestos!$C$103-16),3)=0,MIN(CK28,Supuestos!$C$100/Supuestos!$C$102),0)</f>
        <v>0</v>
      </c>
      <c r="CL29" s="57" t="n">
        <f aca="false">IF(MOD(88-(Supuestos!$C$103-16),3)=0,MIN(CL28,Supuestos!$C$100/Supuestos!$C$102),0)</f>
        <v>0</v>
      </c>
      <c r="CM29" s="57" t="n">
        <f aca="false">IF(MOD(89-(Supuestos!$C$103-16),3)=0,MIN(CM28,Supuestos!$C$100/Supuestos!$C$102),0)</f>
        <v>0</v>
      </c>
      <c r="CN29" s="57" t="n">
        <f aca="false">IF(MOD(90-(Supuestos!$C$103-16),3)=0,MIN(CN28,Supuestos!$C$100/Supuestos!$C$102),0)</f>
        <v>0</v>
      </c>
      <c r="CO29" s="57" t="n">
        <f aca="false">IF(MOD(91-(Supuestos!$C$103-16),3)=0,MIN(CO28,Supuestos!$C$100/Supuestos!$C$102),0)</f>
        <v>0</v>
      </c>
      <c r="CP29" s="57" t="n">
        <f aca="false">IF(MOD(92-(Supuestos!$C$103-16),3)=0,MIN(CP28,Supuestos!$C$100/Supuestos!$C$102),0)</f>
        <v>0</v>
      </c>
      <c r="CQ29" s="57" t="n">
        <f aca="false">IF(MOD(93-(Supuestos!$C$103-16),3)=0,MIN(CQ28,Supuestos!$C$100/Supuestos!$C$102),0)</f>
        <v>0</v>
      </c>
      <c r="CR29" s="57" t="n">
        <f aca="false">IF(MOD(94-(Supuestos!$C$103-16),3)=0,MIN(CR28,Supuestos!$C$100/Supuestos!$C$102),0)</f>
        <v>0</v>
      </c>
      <c r="CS29" s="57" t="n">
        <f aca="false">IF(MOD(95-(Supuestos!$C$103-16),3)=0,MIN(CS28,Supuestos!$C$100/Supuestos!$C$102),0)</f>
        <v>0</v>
      </c>
      <c r="CT29" s="57" t="n">
        <f aca="false">IF(MOD(96-(Supuestos!$C$103-16),3)=0,MIN(CT28,Supuestos!$C$100/Supuestos!$C$102),0)</f>
        <v>0</v>
      </c>
    </row>
    <row r="30" customFormat="false" ht="15" hidden="false" customHeight="false" outlineLevel="0" collapsed="false">
      <c r="A30" s="2"/>
      <c r="B30" s="46" t="s">
        <v>738</v>
      </c>
      <c r="C30" s="58" t="n">
        <f aca="false">C28-C29</f>
        <v>26250000000</v>
      </c>
      <c r="D30" s="58" t="n">
        <f aca="false">D28-D29</f>
        <v>22500000000</v>
      </c>
      <c r="E30" s="58" t="n">
        <f aca="false">E28-E29</f>
        <v>22500000000</v>
      </c>
      <c r="F30" s="58" t="n">
        <f aca="false">F28-F29</f>
        <v>22500000000</v>
      </c>
      <c r="G30" s="58" t="n">
        <f aca="false">G28-G29</f>
        <v>18750000000</v>
      </c>
      <c r="H30" s="58" t="n">
        <f aca="false">H28-H29</f>
        <v>18750000000</v>
      </c>
      <c r="I30" s="58" t="n">
        <f aca="false">I28-I29</f>
        <v>18750000000</v>
      </c>
      <c r="J30" s="58" t="n">
        <f aca="false">J28-J29</f>
        <v>15000000000</v>
      </c>
      <c r="K30" s="58" t="n">
        <f aca="false">K28-K29</f>
        <v>15000000000</v>
      </c>
      <c r="L30" s="58" t="n">
        <f aca="false">L28-L29</f>
        <v>15000000000</v>
      </c>
      <c r="M30" s="58" t="n">
        <f aca="false">M28-M29</f>
        <v>11250000000</v>
      </c>
      <c r="N30" s="58" t="n">
        <f aca="false">N28-N29</f>
        <v>11250000000</v>
      </c>
      <c r="O30" s="58" t="n">
        <f aca="false">O28-O29</f>
        <v>11250000000</v>
      </c>
      <c r="P30" s="58" t="n">
        <f aca="false">P28-P29</f>
        <v>7500000000</v>
      </c>
      <c r="Q30" s="58" t="n">
        <f aca="false">Q28-Q29</f>
        <v>7500000000</v>
      </c>
      <c r="R30" s="58" t="n">
        <f aca="false">R28-R29</f>
        <v>7500000000</v>
      </c>
      <c r="S30" s="58" t="n">
        <f aca="false">S28-S29</f>
        <v>3750000000</v>
      </c>
      <c r="T30" s="58" t="n">
        <f aca="false">T28-T29</f>
        <v>3750000000</v>
      </c>
      <c r="U30" s="58" t="n">
        <f aca="false">U28-U29</f>
        <v>3750000000</v>
      </c>
      <c r="V30" s="58" t="n">
        <f aca="false">V28-V29</f>
        <v>0</v>
      </c>
      <c r="W30" s="58" t="n">
        <f aca="false">W28-W29</f>
        <v>0</v>
      </c>
      <c r="X30" s="58" t="n">
        <f aca="false">X28-X29</f>
        <v>0</v>
      </c>
      <c r="Y30" s="58" t="n">
        <f aca="false">Y28-Y29</f>
        <v>0</v>
      </c>
      <c r="Z30" s="58" t="n">
        <f aca="false">Z28-Z29</f>
        <v>0</v>
      </c>
      <c r="AA30" s="58" t="n">
        <f aca="false">AA28-AA29</f>
        <v>0</v>
      </c>
      <c r="AB30" s="58" t="n">
        <f aca="false">AB28-AB29</f>
        <v>0</v>
      </c>
      <c r="AC30" s="58" t="n">
        <f aca="false">AC28-AC29</f>
        <v>0</v>
      </c>
      <c r="AD30" s="58" t="n">
        <f aca="false">AD28-AD29</f>
        <v>0</v>
      </c>
      <c r="AE30" s="58" t="n">
        <f aca="false">AE28-AE29</f>
        <v>0</v>
      </c>
      <c r="AF30" s="58" t="n">
        <f aca="false">AF28-AF29</f>
        <v>0</v>
      </c>
      <c r="AG30" s="58" t="n">
        <f aca="false">AG28-AG29</f>
        <v>0</v>
      </c>
      <c r="AH30" s="58" t="n">
        <f aca="false">AH28-AH29</f>
        <v>0</v>
      </c>
      <c r="AI30" s="58" t="n">
        <f aca="false">AI28-AI29</f>
        <v>0</v>
      </c>
      <c r="AJ30" s="58" t="n">
        <f aca="false">AJ28-AJ29</f>
        <v>0</v>
      </c>
      <c r="AK30" s="58" t="n">
        <f aca="false">AK28-AK29</f>
        <v>0</v>
      </c>
      <c r="AL30" s="58" t="n">
        <f aca="false">AL28-AL29</f>
        <v>0</v>
      </c>
      <c r="AM30" s="58" t="n">
        <f aca="false">AM28-AM29</f>
        <v>0</v>
      </c>
      <c r="AN30" s="58" t="n">
        <f aca="false">AN28-AN29</f>
        <v>0</v>
      </c>
      <c r="AO30" s="58" t="n">
        <f aca="false">AO28-AO29</f>
        <v>0</v>
      </c>
      <c r="AP30" s="58" t="n">
        <f aca="false">AP28-AP29</f>
        <v>0</v>
      </c>
      <c r="AQ30" s="58" t="n">
        <f aca="false">AQ28-AQ29</f>
        <v>0</v>
      </c>
      <c r="AR30" s="58" t="n">
        <f aca="false">AR28-AR29</f>
        <v>0</v>
      </c>
      <c r="AS30" s="58" t="n">
        <f aca="false">AS28-AS29</f>
        <v>0</v>
      </c>
      <c r="AT30" s="58" t="n">
        <f aca="false">AT28-AT29</f>
        <v>0</v>
      </c>
      <c r="AU30" s="58" t="n">
        <f aca="false">AU28-AU29</f>
        <v>0</v>
      </c>
      <c r="AV30" s="58" t="n">
        <f aca="false">AV28-AV29</f>
        <v>0</v>
      </c>
      <c r="AW30" s="58" t="n">
        <f aca="false">AW28-AW29</f>
        <v>0</v>
      </c>
      <c r="AX30" s="58" t="n">
        <f aca="false">AX28-AX29</f>
        <v>0</v>
      </c>
      <c r="AY30" s="58" t="n">
        <f aca="false">AY28-AY29</f>
        <v>0</v>
      </c>
      <c r="AZ30" s="58" t="n">
        <f aca="false">AZ28-AZ29</f>
        <v>0</v>
      </c>
      <c r="BA30" s="58" t="n">
        <f aca="false">BA28-BA29</f>
        <v>0</v>
      </c>
      <c r="BB30" s="58" t="n">
        <f aca="false">BB28-BB29</f>
        <v>0</v>
      </c>
      <c r="BC30" s="58" t="n">
        <f aca="false">BC28-BC29</f>
        <v>0</v>
      </c>
      <c r="BD30" s="58" t="n">
        <f aca="false">BD28-BD29</f>
        <v>0</v>
      </c>
      <c r="BE30" s="58" t="n">
        <f aca="false">BE28-BE29</f>
        <v>0</v>
      </c>
      <c r="BF30" s="58" t="n">
        <f aca="false">BF28-BF29</f>
        <v>0</v>
      </c>
      <c r="BG30" s="58" t="n">
        <f aca="false">BG28-BG29</f>
        <v>0</v>
      </c>
      <c r="BH30" s="58" t="n">
        <f aca="false">BH28-BH29</f>
        <v>0</v>
      </c>
      <c r="BI30" s="58" t="n">
        <f aca="false">BI28-BI29</f>
        <v>0</v>
      </c>
      <c r="BJ30" s="58" t="n">
        <f aca="false">BJ28-BJ29</f>
        <v>0</v>
      </c>
      <c r="BK30" s="58" t="n">
        <f aca="false">BK28-BK29</f>
        <v>0</v>
      </c>
      <c r="BL30" s="58" t="n">
        <f aca="false">BL28-BL29</f>
        <v>0</v>
      </c>
      <c r="BM30" s="58" t="n">
        <f aca="false">BM28-BM29</f>
        <v>0</v>
      </c>
      <c r="BN30" s="58" t="n">
        <f aca="false">BN28-BN29</f>
        <v>0</v>
      </c>
      <c r="BO30" s="58" t="n">
        <f aca="false">BO28-BO29</f>
        <v>0</v>
      </c>
      <c r="BP30" s="58" t="n">
        <f aca="false">BP28-BP29</f>
        <v>0</v>
      </c>
      <c r="BQ30" s="58" t="n">
        <f aca="false">BQ28-BQ29</f>
        <v>0</v>
      </c>
      <c r="BR30" s="58" t="n">
        <f aca="false">BR28-BR29</f>
        <v>0</v>
      </c>
      <c r="BS30" s="58" t="n">
        <f aca="false">BS28-BS29</f>
        <v>0</v>
      </c>
      <c r="BT30" s="58" t="n">
        <f aca="false">BT28-BT29</f>
        <v>0</v>
      </c>
      <c r="BU30" s="58" t="n">
        <f aca="false">BU28-BU29</f>
        <v>0</v>
      </c>
      <c r="BV30" s="58" t="n">
        <f aca="false">BV28-BV29</f>
        <v>0</v>
      </c>
      <c r="BW30" s="58" t="n">
        <f aca="false">BW28-BW29</f>
        <v>0</v>
      </c>
      <c r="BX30" s="58" t="n">
        <f aca="false">BX28-BX29</f>
        <v>0</v>
      </c>
      <c r="BY30" s="58" t="n">
        <f aca="false">BY28-BY29</f>
        <v>0</v>
      </c>
      <c r="BZ30" s="58" t="n">
        <f aca="false">BZ28-BZ29</f>
        <v>0</v>
      </c>
      <c r="CA30" s="58" t="n">
        <f aca="false">CA28-CA29</f>
        <v>0</v>
      </c>
      <c r="CB30" s="58" t="n">
        <f aca="false">CB28-CB29</f>
        <v>0</v>
      </c>
      <c r="CC30" s="58" t="n">
        <f aca="false">CC28-CC29</f>
        <v>0</v>
      </c>
      <c r="CD30" s="58" t="n">
        <f aca="false">CD28-CD29</f>
        <v>0</v>
      </c>
      <c r="CE30" s="58" t="n">
        <f aca="false">CE28-CE29</f>
        <v>0</v>
      </c>
      <c r="CF30" s="58" t="n">
        <f aca="false">CF28-CF29</f>
        <v>0</v>
      </c>
      <c r="CG30" s="58" t="n">
        <f aca="false">CG28-CG29</f>
        <v>0</v>
      </c>
      <c r="CH30" s="58" t="n">
        <f aca="false">CH28-CH29</f>
        <v>0</v>
      </c>
      <c r="CI30" s="58" t="n">
        <f aca="false">CI28-CI29</f>
        <v>0</v>
      </c>
      <c r="CJ30" s="58" t="n">
        <f aca="false">CJ28-CJ29</f>
        <v>0</v>
      </c>
      <c r="CK30" s="58" t="n">
        <f aca="false">CK28-CK29</f>
        <v>0</v>
      </c>
      <c r="CL30" s="58" t="n">
        <f aca="false">CL28-CL29</f>
        <v>0</v>
      </c>
      <c r="CM30" s="58" t="n">
        <f aca="false">CM28-CM29</f>
        <v>0</v>
      </c>
      <c r="CN30" s="58" t="n">
        <f aca="false">CN28-CN29</f>
        <v>0</v>
      </c>
      <c r="CO30" s="58" t="n">
        <f aca="false">CO28-CO29</f>
        <v>0</v>
      </c>
      <c r="CP30" s="58" t="n">
        <f aca="false">CP28-CP29</f>
        <v>0</v>
      </c>
      <c r="CQ30" s="58" t="n">
        <f aca="false">CQ28-CQ29</f>
        <v>0</v>
      </c>
      <c r="CR30" s="58" t="n">
        <f aca="false">CR28-CR29</f>
        <v>0</v>
      </c>
      <c r="CS30" s="58" t="n">
        <f aca="false">CS28-CS29</f>
        <v>0</v>
      </c>
      <c r="CT30" s="58" t="n">
        <f aca="false">CT28-CT29</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7057"/>
    <pageSetUpPr fitToPage="false"/>
  </sheetPr>
  <dimension ref="A2:J8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50"/>
    <col collapsed="false" customWidth="true" hidden="false" outlineLevel="0" max="10" min="3" style="1" width="15"/>
  </cols>
  <sheetData>
    <row r="2" customFormat="false" ht="15.75" hidden="false" customHeight="true" outlineLevel="0" collapsed="false">
      <c r="B2" s="16" t="s">
        <v>739</v>
      </c>
    </row>
    <row r="3" customFormat="false" ht="49.5" hidden="false" customHeight="true" outlineLevel="0" collapsed="false">
      <c r="B3" s="68" t="s">
        <v>740</v>
      </c>
    </row>
    <row r="5" customFormat="false" ht="15" hidden="false" customHeight="true" outlineLevel="0" collapsed="false">
      <c r="B5" s="84"/>
      <c r="C5" s="50" t="s">
        <v>542</v>
      </c>
      <c r="D5" s="50" t="s">
        <v>543</v>
      </c>
      <c r="E5" s="50" t="s">
        <v>544</v>
      </c>
      <c r="F5" s="50" t="s">
        <v>545</v>
      </c>
      <c r="G5" s="50" t="s">
        <v>546</v>
      </c>
      <c r="H5" s="50" t="s">
        <v>547</v>
      </c>
      <c r="I5" s="50" t="s">
        <v>548</v>
      </c>
      <c r="J5" s="50" t="s">
        <v>549</v>
      </c>
    </row>
    <row r="6" customFormat="false" ht="24.75" hidden="false" customHeight="true" outlineLevel="0" collapsed="false">
      <c r="B6" s="85"/>
      <c r="C6" s="86" t="s">
        <v>741</v>
      </c>
      <c r="D6" s="87" t="s">
        <v>742</v>
      </c>
      <c r="E6" s="87" t="s">
        <v>743</v>
      </c>
      <c r="F6" s="87" t="s">
        <v>744</v>
      </c>
      <c r="G6" s="86" t="s">
        <v>745</v>
      </c>
      <c r="H6" s="86" t="s">
        <v>745</v>
      </c>
      <c r="I6" s="86" t="s">
        <v>745</v>
      </c>
      <c r="J6" s="86" t="s">
        <v>745</v>
      </c>
    </row>
    <row r="7" customFormat="false" ht="15" hidden="false" customHeight="true" outlineLevel="0" collapsed="false">
      <c r="A7" s="2"/>
      <c r="B7" s="56" t="s">
        <v>746</v>
      </c>
      <c r="C7" s="9"/>
      <c r="D7" s="9"/>
      <c r="E7" s="9"/>
      <c r="F7" s="9"/>
      <c r="G7" s="9"/>
      <c r="H7" s="9"/>
      <c r="I7" s="9"/>
      <c r="J7" s="9"/>
    </row>
    <row r="8" customFormat="false" ht="15" hidden="false" customHeight="true" outlineLevel="0" collapsed="false">
      <c r="A8" s="2"/>
      <c r="B8" s="19" t="s">
        <v>747</v>
      </c>
      <c r="C8" s="66" t="n">
        <f aca="false">SUM(Recursos!C8:N8)</f>
        <v>218222867429.225</v>
      </c>
      <c r="D8" s="66" t="n">
        <f aca="false">SUM(Recursos!O8:Z8)</f>
        <v>222478213344.095</v>
      </c>
      <c r="E8" s="66" t="n">
        <f aca="false">SUM(Recursos!AA8:AL8)</f>
        <v>226816538504.305</v>
      </c>
      <c r="F8" s="66" t="n">
        <f aca="false">SUM(Recursos!AM8:AX8)</f>
        <v>231239461005.138</v>
      </c>
      <c r="G8" s="66" t="n">
        <f aca="false">SUM(Recursos!AY8:BJ8)</f>
        <v>235748630494.739</v>
      </c>
      <c r="H8" s="66" t="n">
        <f aca="false">SUM(Recursos!BK8:BV8)</f>
        <v>240345728789.386</v>
      </c>
      <c r="I8" s="66" t="n">
        <f aca="false">SUM(Recursos!BW8:CH8)</f>
        <v>245032470500.779</v>
      </c>
      <c r="J8" s="66" t="n">
        <f aca="false">SUM(Recursos!CI8:CT8)</f>
        <v>249810603675.544</v>
      </c>
    </row>
    <row r="9" customFormat="false" ht="15" hidden="false" customHeight="true" outlineLevel="0" collapsed="false">
      <c r="A9" s="2"/>
      <c r="B9" s="19" t="s">
        <v>748</v>
      </c>
      <c r="C9" s="66" t="n">
        <f aca="false">SUM(Recursos!C9:N9)</f>
        <v>1636527548</v>
      </c>
      <c r="D9" s="66" t="n">
        <f aca="false">SUM(Recursos!O9:Z9)</f>
        <v>4850852925</v>
      </c>
      <c r="E9" s="66" t="n">
        <f aca="false">SUM(Recursos!AA9:AL9)</f>
        <v>5936238856</v>
      </c>
      <c r="F9" s="66" t="n">
        <f aca="false">SUM(Recursos!AM9:AX9)</f>
        <v>5983226473</v>
      </c>
      <c r="G9" s="66" t="n">
        <f aca="false">SUM(Recursos!AY9:BJ9)</f>
        <v>5983226473</v>
      </c>
      <c r="H9" s="66" t="n">
        <f aca="false">SUM(Recursos!BK9:BV9)</f>
        <v>5983226473</v>
      </c>
      <c r="I9" s="66" t="n">
        <f aca="false">SUM(Recursos!BW9:CH9)</f>
        <v>5983226473</v>
      </c>
      <c r="J9" s="66" t="n">
        <f aca="false">SUM(Recursos!CI9:CT9)</f>
        <v>5983226473</v>
      </c>
    </row>
    <row r="10" customFormat="false" ht="15" hidden="false" customHeight="true" outlineLevel="0" collapsed="false">
      <c r="A10" s="2"/>
      <c r="B10" s="19" t="s">
        <v>749</v>
      </c>
      <c r="C10" s="66" t="n">
        <f aca="false">SUM(Recursos!C10:N11)</f>
        <v>83037230550.0935</v>
      </c>
      <c r="D10" s="66" t="n">
        <f aca="false">SUM(Recursos!O10:Z11)</f>
        <v>81552666504.0257</v>
      </c>
      <c r="E10" s="66" t="n">
        <f aca="false">SUM(Recursos!AA10:AL11)</f>
        <v>80100703484.4096</v>
      </c>
      <c r="F10" s="66" t="n">
        <f aca="false">SUM(Recursos!AM10:AX11)</f>
        <v>78680625572.7043</v>
      </c>
      <c r="G10" s="66" t="n">
        <f aca="false">SUM(Recursos!AY10:BJ11)</f>
        <v>77291732571.94</v>
      </c>
      <c r="H10" s="66" t="n">
        <f aca="false">SUM(Recursos!BK10:BV11)</f>
        <v>75933339661.4724</v>
      </c>
      <c r="I10" s="66" t="n">
        <f aca="false">SUM(Recursos!BW10:CH11)</f>
        <v>74604777059.3188</v>
      </c>
      <c r="J10" s="66" t="n">
        <f aca="false">SUM(Recursos!CI10:CT11)</f>
        <v>73305389691.9084</v>
      </c>
    </row>
    <row r="11" customFormat="false" ht="15" hidden="false" customHeight="true" outlineLevel="0" collapsed="false">
      <c r="A11" s="2"/>
      <c r="B11" s="19" t="s">
        <v>750</v>
      </c>
      <c r="C11" s="66" t="n">
        <f aca="false">SUM(Recursos!C12:N12)</f>
        <v>7521748907.61</v>
      </c>
      <c r="D11" s="66" t="n">
        <f aca="false">SUM(Recursos!O12:Z12)</f>
        <v>7521748907.61</v>
      </c>
      <c r="E11" s="66" t="n">
        <f aca="false">SUM(Recursos!AA12:AL12)</f>
        <v>7521748907.61</v>
      </c>
      <c r="F11" s="66" t="n">
        <f aca="false">SUM(Recursos!AM12:AX12)</f>
        <v>7521748907.61</v>
      </c>
      <c r="G11" s="66" t="n">
        <f aca="false">SUM(Recursos!AY12:BJ12)</f>
        <v>7521748907.61</v>
      </c>
      <c r="H11" s="66" t="n">
        <f aca="false">SUM(Recursos!BK12:BV12)</f>
        <v>7521748907.61</v>
      </c>
      <c r="I11" s="66" t="n">
        <f aca="false">SUM(Recursos!BW12:CH12)</f>
        <v>7521748907.61</v>
      </c>
      <c r="J11" s="66" t="n">
        <f aca="false">SUM(Recursos!CI12:CT12)</f>
        <v>7521748907.61</v>
      </c>
    </row>
    <row r="12" customFormat="false" ht="15" hidden="false" customHeight="true" outlineLevel="0" collapsed="false">
      <c r="A12" s="2"/>
      <c r="B12" s="46" t="s">
        <v>751</v>
      </c>
      <c r="C12" s="58" t="n">
        <f aca="false">SUM(C8:C11)</f>
        <v>310418374434.928</v>
      </c>
      <c r="D12" s="58" t="n">
        <f aca="false">SUM(D8:D11)</f>
        <v>316403481680.73</v>
      </c>
      <c r="E12" s="58" t="n">
        <f aca="false">SUM(E8:E11)</f>
        <v>320375229752.324</v>
      </c>
      <c r="F12" s="58" t="n">
        <f aca="false">SUM(F8:F11)</f>
        <v>323425061958.453</v>
      </c>
      <c r="G12" s="58" t="n">
        <f aca="false">SUM(G8:G11)</f>
        <v>326545338447.289</v>
      </c>
      <c r="H12" s="58" t="n">
        <f aca="false">SUM(H8:H11)</f>
        <v>329784043831.469</v>
      </c>
      <c r="I12" s="58" t="n">
        <f aca="false">SUM(I8:I11)</f>
        <v>333142222940.708</v>
      </c>
      <c r="J12" s="58" t="n">
        <f aca="false">SUM(J8:J11)</f>
        <v>336620968748.063</v>
      </c>
    </row>
    <row r="13" customFormat="false" ht="15" hidden="false" customHeight="true" outlineLevel="0" collapsed="false">
      <c r="A13" s="2"/>
      <c r="B13" s="19" t="s">
        <v>228</v>
      </c>
      <c r="C13" s="66" t="n">
        <f aca="false">SUM(Recursos!C16:N16)</f>
        <v>2030100797.22</v>
      </c>
      <c r="D13" s="66" t="n">
        <f aca="false">SUM(Recursos!O16:Z16)</f>
        <v>2030100797.22</v>
      </c>
      <c r="E13" s="66" t="n">
        <f aca="false">SUM(Recursos!AA16:AL16)</f>
        <v>2030100797.22</v>
      </c>
      <c r="F13" s="66" t="n">
        <f aca="false">SUM(Recursos!AM16:AX16)</f>
        <v>2030100797.22</v>
      </c>
      <c r="G13" s="66" t="n">
        <f aca="false">SUM(Recursos!AY16:BJ16)</f>
        <v>2030100797.22</v>
      </c>
      <c r="H13" s="66" t="n">
        <f aca="false">SUM(Recursos!BK16:BV16)</f>
        <v>2030100797.22</v>
      </c>
      <c r="I13" s="66" t="n">
        <f aca="false">SUM(Recursos!BW16:CH16)</f>
        <v>2030100797.22</v>
      </c>
      <c r="J13" s="66" t="n">
        <f aca="false">SUM(Recursos!CI16:CT16)</f>
        <v>2030100797.22</v>
      </c>
    </row>
    <row r="14" customFormat="false" ht="15" hidden="false" customHeight="true" outlineLevel="0" collapsed="false">
      <c r="A14" s="2"/>
      <c r="B14" s="54" t="s">
        <v>752</v>
      </c>
      <c r="C14" s="60" t="n">
        <f aca="false">C12+C13</f>
        <v>312448475232.148</v>
      </c>
      <c r="D14" s="60" t="n">
        <f aca="false">D12+D13</f>
        <v>318433582477.95</v>
      </c>
      <c r="E14" s="60" t="n">
        <f aca="false">E12+E13</f>
        <v>322405330549.544</v>
      </c>
      <c r="F14" s="60" t="n">
        <f aca="false">F12+F13</f>
        <v>325455162755.673</v>
      </c>
      <c r="G14" s="60" t="n">
        <f aca="false">G12+G13</f>
        <v>328575439244.509</v>
      </c>
      <c r="H14" s="60" t="n">
        <f aca="false">H12+H13</f>
        <v>331814144628.689</v>
      </c>
      <c r="I14" s="60" t="n">
        <f aca="false">I12+I13</f>
        <v>335172323737.928</v>
      </c>
      <c r="J14" s="60" t="n">
        <f aca="false">J12+J13</f>
        <v>338651069545.283</v>
      </c>
    </row>
    <row r="15" customFormat="false" ht="15" hidden="false" customHeight="false" outlineLevel="0" collapsed="false">
      <c r="A15" s="2"/>
      <c r="B15" s="2"/>
      <c r="C15" s="2"/>
      <c r="D15" s="2"/>
      <c r="E15" s="2"/>
      <c r="F15" s="2"/>
      <c r="G15" s="2"/>
      <c r="H15" s="2"/>
      <c r="I15" s="2"/>
      <c r="J15" s="2"/>
    </row>
    <row r="16" customFormat="false" ht="15" hidden="false" customHeight="true" outlineLevel="0" collapsed="false">
      <c r="A16" s="2"/>
      <c r="B16" s="56" t="s">
        <v>753</v>
      </c>
      <c r="C16" s="9"/>
      <c r="D16" s="9"/>
      <c r="E16" s="9"/>
      <c r="F16" s="9"/>
      <c r="G16" s="9"/>
      <c r="H16" s="9"/>
      <c r="I16" s="9"/>
      <c r="J16" s="9"/>
    </row>
    <row r="17" customFormat="false" ht="15" hidden="false" customHeight="true" outlineLevel="0" collapsed="false">
      <c r="A17" s="2"/>
      <c r="B17" s="19" t="s">
        <v>754</v>
      </c>
      <c r="C17" s="66" t="n">
        <f aca="false">SUM('Gastos objeto'!C8:N9)</f>
        <v>111589523524.9</v>
      </c>
      <c r="D17" s="66" t="n">
        <f aca="false">SUM('Gastos objeto'!O8:Z9)</f>
        <v>111589523524.9</v>
      </c>
      <c r="E17" s="66" t="n">
        <f aca="false">SUM('Gastos objeto'!AA8:AL9)</f>
        <v>111589523524.9</v>
      </c>
      <c r="F17" s="66" t="n">
        <f aca="false">SUM('Gastos objeto'!AM8:AX9)</f>
        <v>111589523524.9</v>
      </c>
      <c r="G17" s="66" t="n">
        <f aca="false">SUM('Gastos objeto'!AY8:BJ9)</f>
        <v>111589523524.9</v>
      </c>
      <c r="H17" s="66" t="n">
        <f aca="false">SUM('Gastos objeto'!BK8:BV9)</f>
        <v>111589523524.9</v>
      </c>
      <c r="I17" s="66" t="n">
        <f aca="false">SUM('Gastos objeto'!BW8:CH9)</f>
        <v>111589523524.9</v>
      </c>
      <c r="J17" s="66" t="n">
        <f aca="false">SUM('Gastos objeto'!CI8:CT9)</f>
        <v>111589523524.9</v>
      </c>
    </row>
    <row r="18" customFormat="false" ht="15" hidden="false" customHeight="true" outlineLevel="0" collapsed="false">
      <c r="A18" s="2"/>
      <c r="B18" s="19" t="s">
        <v>531</v>
      </c>
      <c r="C18" s="66" t="n">
        <f aca="false">SUM('Gastos objeto'!C10:N10)</f>
        <v>22096325434.19</v>
      </c>
      <c r="D18" s="66" t="n">
        <f aca="false">SUM('Gastos objeto'!O10:Z10)</f>
        <v>22096325434.19</v>
      </c>
      <c r="E18" s="66" t="n">
        <f aca="false">SUM('Gastos objeto'!AA10:AL10)</f>
        <v>22096325434.19</v>
      </c>
      <c r="F18" s="66" t="n">
        <f aca="false">SUM('Gastos objeto'!AM10:AX10)</f>
        <v>22096325434.19</v>
      </c>
      <c r="G18" s="66" t="n">
        <f aca="false">SUM('Gastos objeto'!AY10:BJ10)</f>
        <v>22096325434.19</v>
      </c>
      <c r="H18" s="66" t="n">
        <f aca="false">SUM('Gastos objeto'!BK10:BV10)</f>
        <v>22096325434.19</v>
      </c>
      <c r="I18" s="66" t="n">
        <f aca="false">SUM('Gastos objeto'!BW10:CH10)</f>
        <v>22096325434.19</v>
      </c>
      <c r="J18" s="66" t="n">
        <f aca="false">SUM('Gastos objeto'!CI10:CT10)</f>
        <v>22096325434.19</v>
      </c>
    </row>
    <row r="19" customFormat="false" ht="15" hidden="false" customHeight="true" outlineLevel="0" collapsed="false">
      <c r="A19" s="2"/>
      <c r="B19" s="19" t="s">
        <v>533</v>
      </c>
      <c r="C19" s="66" t="n">
        <f aca="false">SUM('Gastos objeto'!C11:N11)</f>
        <v>110490801688.94</v>
      </c>
      <c r="D19" s="66" t="n">
        <f aca="false">SUM('Gastos objeto'!O11:Z11)</f>
        <v>110490801688.94</v>
      </c>
      <c r="E19" s="66" t="n">
        <f aca="false">SUM('Gastos objeto'!AA11:AL11)</f>
        <v>110490801688.94</v>
      </c>
      <c r="F19" s="66" t="n">
        <f aca="false">SUM('Gastos objeto'!AM11:AX11)</f>
        <v>110490801688.94</v>
      </c>
      <c r="G19" s="66" t="n">
        <f aca="false">SUM('Gastos objeto'!AY11:BJ11)</f>
        <v>110490801688.94</v>
      </c>
      <c r="H19" s="66" t="n">
        <f aca="false">SUM('Gastos objeto'!BK11:BV11)</f>
        <v>110490801688.94</v>
      </c>
      <c r="I19" s="66" t="n">
        <f aca="false">SUM('Gastos objeto'!BW11:CH11)</f>
        <v>110490801688.94</v>
      </c>
      <c r="J19" s="66" t="n">
        <f aca="false">SUM('Gastos objeto'!CI11:CT11)</f>
        <v>110490801688.94</v>
      </c>
    </row>
    <row r="20" customFormat="false" ht="15" hidden="false" customHeight="true" outlineLevel="0" collapsed="false">
      <c r="A20" s="2"/>
      <c r="B20" s="19" t="s">
        <v>68</v>
      </c>
      <c r="C20" s="66" t="n">
        <f aca="false">SUM('Gastos objeto'!C13:N13)-Supuestos!$C$126</f>
        <v>7226941485.26</v>
      </c>
      <c r="D20" s="66" t="n">
        <f aca="false">SUM('Gastos objeto'!O13:Z13)-Supuestos!$C$126</f>
        <v>7226941485.26</v>
      </c>
      <c r="E20" s="66" t="n">
        <f aca="false">SUM('Gastos objeto'!AA13:AL13)-Supuestos!$C$126</f>
        <v>7226941485.26</v>
      </c>
      <c r="F20" s="66" t="n">
        <f aca="false">SUM('Gastos objeto'!AM13:AX13)-Supuestos!$C$126</f>
        <v>7226941485.26</v>
      </c>
      <c r="G20" s="66" t="n">
        <f aca="false">SUM('Gastos objeto'!AY13:BJ13)-Supuestos!$C$126</f>
        <v>7226941485.26</v>
      </c>
      <c r="H20" s="66" t="n">
        <f aca="false">SUM('Gastos objeto'!BK13:BV13)-Supuestos!$C$126</f>
        <v>7226941485.26</v>
      </c>
      <c r="I20" s="66" t="n">
        <f aca="false">SUM('Gastos objeto'!BW13:CH13)-Supuestos!$C$126</f>
        <v>7226941485.26</v>
      </c>
      <c r="J20" s="66" t="n">
        <f aca="false">SUM('Gastos objeto'!CI13:CT13)-Supuestos!$C$126</f>
        <v>7226941485.26</v>
      </c>
    </row>
    <row r="21" customFormat="false" ht="15" hidden="false" customHeight="true" outlineLevel="0" collapsed="false">
      <c r="A21" s="2"/>
      <c r="B21" s="19" t="s">
        <v>755</v>
      </c>
      <c r="C21" s="66" t="n">
        <f aca="false">SUM(Programas!C30:N30)</f>
        <v>1115023042.144</v>
      </c>
      <c r="D21" s="66" t="n">
        <f aca="false">SUM(Programas!O30:Z30)</f>
        <v>2300664731.21613</v>
      </c>
      <c r="E21" s="66" t="n">
        <f aca="false">SUM(Programas!AA30:AL30)</f>
        <v>3384443840.15219</v>
      </c>
      <c r="F21" s="66" t="n">
        <f aca="false">SUM(Programas!AM30:AX30)</f>
        <v>3723042397.144</v>
      </c>
      <c r="G21" s="66" t="n">
        <f aca="false">SUM(Programas!AY30:BJ30)</f>
        <v>3723042397.144</v>
      </c>
      <c r="H21" s="66" t="n">
        <f aca="false">SUM(Programas!BK30:BV30)</f>
        <v>3723042397.144</v>
      </c>
      <c r="I21" s="66" t="n">
        <f aca="false">SUM(Programas!BW30:CH30)</f>
        <v>3723042397.144</v>
      </c>
      <c r="J21" s="66" t="n">
        <f aca="false">SUM(Programas!CI30:CT30)</f>
        <v>3723042397.144</v>
      </c>
    </row>
    <row r="22" customFormat="false" ht="15" hidden="false" customHeight="true" outlineLevel="0" collapsed="false">
      <c r="A22" s="2"/>
      <c r="B22" s="46" t="s">
        <v>756</v>
      </c>
      <c r="C22" s="58" t="n">
        <f aca="false">SUM(C17:C21)</f>
        <v>252518615175.434</v>
      </c>
      <c r="D22" s="58" t="n">
        <f aca="false">SUM(D17:D21)</f>
        <v>253704256864.506</v>
      </c>
      <c r="E22" s="58" t="n">
        <f aca="false">SUM(E17:E21)</f>
        <v>254788035973.442</v>
      </c>
      <c r="F22" s="58" t="n">
        <f aca="false">SUM(F17:F21)</f>
        <v>255126634530.434</v>
      </c>
      <c r="G22" s="58" t="n">
        <f aca="false">SUM(G17:G21)</f>
        <v>255126634530.434</v>
      </c>
      <c r="H22" s="58" t="n">
        <f aca="false">SUM(H17:H21)</f>
        <v>255126634530.434</v>
      </c>
      <c r="I22" s="58" t="n">
        <f aca="false">SUM(I17:I21)</f>
        <v>255126634530.434</v>
      </c>
      <c r="J22" s="58" t="n">
        <f aca="false">SUM(J17:J21)</f>
        <v>255126634530.434</v>
      </c>
    </row>
    <row r="23" customFormat="false" ht="15" hidden="false" customHeight="true" outlineLevel="0" collapsed="false">
      <c r="A23" s="2"/>
      <c r="B23" s="56" t="s">
        <v>757</v>
      </c>
      <c r="C23" s="9"/>
      <c r="D23" s="9"/>
      <c r="E23" s="9"/>
      <c r="F23" s="9"/>
      <c r="G23" s="9"/>
      <c r="H23" s="9"/>
      <c r="I23" s="9"/>
      <c r="J23" s="9"/>
    </row>
    <row r="24" customFormat="false" ht="15" hidden="false" customHeight="true" outlineLevel="0" collapsed="false">
      <c r="A24" s="2"/>
      <c r="B24" s="19" t="s">
        <v>758</v>
      </c>
      <c r="C24" s="66" t="n">
        <f aca="false">SUM('Gastos objeto'!C12:N12)</f>
        <v>57815709350.26</v>
      </c>
      <c r="D24" s="66" t="n">
        <f aca="false">SUM('Gastos objeto'!O12:Z12)</f>
        <v>57815709350.26</v>
      </c>
      <c r="E24" s="66" t="n">
        <f aca="false">SUM('Gastos objeto'!AA12:AL12)</f>
        <v>57815709350.26</v>
      </c>
      <c r="F24" s="66" t="n">
        <f aca="false">SUM('Gastos objeto'!AM12:AX12)</f>
        <v>57815709350.26</v>
      </c>
      <c r="G24" s="66" t="n">
        <f aca="false">SUM('Gastos objeto'!AY12:BJ12)</f>
        <v>57815709350.26</v>
      </c>
      <c r="H24" s="66" t="n">
        <f aca="false">SUM('Gastos objeto'!BK12:BV12)</f>
        <v>57815709350.26</v>
      </c>
      <c r="I24" s="66" t="n">
        <f aca="false">SUM('Gastos objeto'!BW12:CH12)</f>
        <v>57815709350.26</v>
      </c>
      <c r="J24" s="66" t="n">
        <f aca="false">SUM('Gastos objeto'!CI12:CT12)</f>
        <v>57815709350.26</v>
      </c>
    </row>
    <row r="25" customFormat="false" ht="15" hidden="false" customHeight="true" outlineLevel="0" collapsed="false">
      <c r="A25" s="2"/>
      <c r="B25" s="19" t="s">
        <v>759</v>
      </c>
      <c r="C25" s="66" t="n">
        <f aca="false">SUM(Vecinal!C10:N10)</f>
        <v>7226963668.7825</v>
      </c>
      <c r="D25" s="66" t="n">
        <f aca="false">SUM(Vecinal!O10:Z10)</f>
        <v>14453927337.565</v>
      </c>
      <c r="E25" s="66" t="n">
        <f aca="false">SUM(Vecinal!AA10:AL10)</f>
        <v>21680891006.3475</v>
      </c>
      <c r="F25" s="66" t="n">
        <f aca="false">SUM(Vecinal!AM10:AX10)</f>
        <v>28907854675.13</v>
      </c>
      <c r="G25" s="66" t="n">
        <f aca="false">SUM(Vecinal!AY10:BJ10)</f>
        <v>28907854675.13</v>
      </c>
      <c r="H25" s="66" t="n">
        <f aca="false">SUM(Vecinal!BK10:BV10)</f>
        <v>28907854675.13</v>
      </c>
      <c r="I25" s="66" t="n">
        <f aca="false">SUM(Vecinal!BW10:CH10)</f>
        <v>28907854675.13</v>
      </c>
      <c r="J25" s="66" t="n">
        <f aca="false">SUM(Vecinal!CI10:CT10)</f>
        <v>28907854675.13</v>
      </c>
    </row>
    <row r="26" customFormat="false" ht="15" hidden="false" customHeight="true" outlineLevel="0" collapsed="false">
      <c r="A26" s="2"/>
      <c r="B26" s="19" t="s">
        <v>760</v>
      </c>
      <c r="C26" s="66" t="n">
        <f aca="false">Supuestos!$C$126</f>
        <v>16528497</v>
      </c>
      <c r="D26" s="66" t="n">
        <f aca="false">Supuestos!$C$126</f>
        <v>16528497</v>
      </c>
      <c r="E26" s="66" t="n">
        <f aca="false">Supuestos!$C$126</f>
        <v>16528497</v>
      </c>
      <c r="F26" s="66" t="n">
        <f aca="false">Supuestos!$C$126</f>
        <v>16528497</v>
      </c>
      <c r="G26" s="66" t="n">
        <f aca="false">Supuestos!$C$126</f>
        <v>16528497</v>
      </c>
      <c r="H26" s="66" t="n">
        <f aca="false">Supuestos!$C$126</f>
        <v>16528497</v>
      </c>
      <c r="I26" s="66" t="n">
        <f aca="false">Supuestos!$C$126</f>
        <v>16528497</v>
      </c>
      <c r="J26" s="66" t="n">
        <f aca="false">Supuestos!$C$126</f>
        <v>16528497</v>
      </c>
    </row>
    <row r="27" customFormat="false" ht="15" hidden="false" customHeight="false" outlineLevel="0" collapsed="false">
      <c r="A27" s="2"/>
      <c r="B27" s="19" t="s">
        <v>761</v>
      </c>
      <c r="C27" s="66" t="n">
        <f aca="false">SUM(Programas!C31:N31)</f>
        <v>521504505.856</v>
      </c>
      <c r="D27" s="66" t="n">
        <f aca="false">SUM(Programas!O31:Z31)</f>
        <v>1311932298.57075</v>
      </c>
      <c r="E27" s="66" t="n">
        <f aca="false">SUM(Programas!AA31:AL31)</f>
        <v>2034451704.52813</v>
      </c>
      <c r="F27" s="66" t="n">
        <f aca="false">SUM(Programas!AM31:AX31)</f>
        <v>2260184075.856</v>
      </c>
      <c r="G27" s="66" t="n">
        <f aca="false">SUM(Programas!AY31:BJ31)</f>
        <v>2260184075.856</v>
      </c>
      <c r="H27" s="66" t="n">
        <f aca="false">SUM(Programas!BK31:BV31)</f>
        <v>2260184075.856</v>
      </c>
      <c r="I27" s="66" t="n">
        <f aca="false">SUM(Programas!BW31:CH31)</f>
        <v>2260184075.856</v>
      </c>
      <c r="J27" s="66" t="n">
        <f aca="false">SUM(Programas!CI31:CT31)</f>
        <v>2260184075.856</v>
      </c>
    </row>
    <row r="28" customFormat="false" ht="15" hidden="false" customHeight="true" outlineLevel="0" collapsed="false">
      <c r="A28" s="2"/>
      <c r="B28" s="46" t="s">
        <v>762</v>
      </c>
      <c r="C28" s="58" t="n">
        <f aca="false">C24+C26+C27</f>
        <v>58353742353.116</v>
      </c>
      <c r="D28" s="58" t="n">
        <f aca="false">D24+D26+D27</f>
        <v>59144170145.8308</v>
      </c>
      <c r="E28" s="58" t="n">
        <f aca="false">E24+E26+E27</f>
        <v>59866689551.7881</v>
      </c>
      <c r="F28" s="58" t="n">
        <f aca="false">F24+F26+F27</f>
        <v>60092421923.116</v>
      </c>
      <c r="G28" s="58" t="n">
        <f aca="false">G24+G26+G27</f>
        <v>60092421923.116</v>
      </c>
      <c r="H28" s="58" t="n">
        <f aca="false">H24+H26+H27</f>
        <v>60092421923.116</v>
      </c>
      <c r="I28" s="58" t="n">
        <f aca="false">I24+I26+I27</f>
        <v>60092421923.116</v>
      </c>
      <c r="J28" s="58" t="n">
        <f aca="false">J24+J26+J27</f>
        <v>60092421923.116</v>
      </c>
    </row>
    <row r="29" customFormat="false" ht="15" hidden="false" customHeight="true" outlineLevel="0" collapsed="false">
      <c r="A29" s="2"/>
      <c r="B29" s="54" t="s">
        <v>763</v>
      </c>
      <c r="C29" s="60" t="n">
        <f aca="false">C22+C28</f>
        <v>310872357528.55</v>
      </c>
      <c r="D29" s="60" t="n">
        <f aca="false">D22+D28</f>
        <v>312848427010.337</v>
      </c>
      <c r="E29" s="60" t="n">
        <f aca="false">E22+E28</f>
        <v>314654725525.23</v>
      </c>
      <c r="F29" s="60" t="n">
        <f aca="false">F22+F28</f>
        <v>315219056453.55</v>
      </c>
      <c r="G29" s="60" t="n">
        <f aca="false">G22+G28</f>
        <v>315219056453.55</v>
      </c>
      <c r="H29" s="60" t="n">
        <f aca="false">H22+H28</f>
        <v>315219056453.55</v>
      </c>
      <c r="I29" s="60" t="n">
        <f aca="false">I22+I28</f>
        <v>315219056453.55</v>
      </c>
      <c r="J29" s="60" t="n">
        <f aca="false">J22+J28</f>
        <v>315219056453.55</v>
      </c>
    </row>
    <row r="30" customFormat="false" ht="15" hidden="false" customHeight="true" outlineLevel="0" collapsed="false">
      <c r="A30" s="2"/>
      <c r="B30" s="9"/>
      <c r="C30" s="9"/>
      <c r="D30" s="9"/>
      <c r="E30" s="9"/>
      <c r="F30" s="9"/>
      <c r="G30" s="9"/>
      <c r="H30" s="9"/>
      <c r="I30" s="9"/>
      <c r="J30" s="9"/>
    </row>
    <row r="31" customFormat="false" ht="15" hidden="false" customHeight="true" outlineLevel="0" collapsed="false">
      <c r="A31" s="2"/>
      <c r="B31" s="56" t="s">
        <v>764</v>
      </c>
      <c r="C31" s="9"/>
      <c r="D31" s="9"/>
      <c r="E31" s="9"/>
      <c r="F31" s="9"/>
      <c r="G31" s="9"/>
      <c r="H31" s="9"/>
      <c r="I31" s="9"/>
      <c r="J31" s="9"/>
    </row>
    <row r="32" customFormat="false" ht="15" hidden="false" customHeight="true" outlineLevel="0" collapsed="false">
      <c r="A32" s="2"/>
      <c r="B32" s="46" t="s">
        <v>635</v>
      </c>
      <c r="C32" s="58" t="n">
        <f aca="false">C12-C22</f>
        <v>57899759259.4942</v>
      </c>
      <c r="D32" s="58" t="n">
        <f aca="false">D12-D22</f>
        <v>62699224816.2242</v>
      </c>
      <c r="E32" s="58" t="n">
        <f aca="false">E12-E22</f>
        <v>65587193778.8819</v>
      </c>
      <c r="F32" s="58" t="n">
        <f aca="false">F12-F22</f>
        <v>68298427428.0187</v>
      </c>
      <c r="G32" s="58" t="n">
        <f aca="false">G12-G22</f>
        <v>71418703916.8546</v>
      </c>
      <c r="H32" s="58" t="n">
        <f aca="false">H12-H22</f>
        <v>74657409301.0345</v>
      </c>
      <c r="I32" s="58" t="n">
        <f aca="false">I12-I22</f>
        <v>78015588410.274</v>
      </c>
      <c r="J32" s="58" t="n">
        <f aca="false">J12-J22</f>
        <v>81494334217.6288</v>
      </c>
    </row>
    <row r="33" customFormat="false" ht="15" hidden="false" customHeight="true" outlineLevel="0" collapsed="false">
      <c r="A33" s="2"/>
      <c r="B33" s="54" t="s">
        <v>232</v>
      </c>
      <c r="C33" s="60" t="n">
        <f aca="false">C14-C29</f>
        <v>1576117703.59821</v>
      </c>
      <c r="D33" s="60" t="n">
        <f aca="false">D14-D29</f>
        <v>5585155467.61346</v>
      </c>
      <c r="E33" s="60" t="n">
        <f aca="false">E14-E29</f>
        <v>7750605024.31378</v>
      </c>
      <c r="F33" s="60" t="n">
        <f aca="false">F14-F29</f>
        <v>10236106302.1227</v>
      </c>
      <c r="G33" s="60" t="n">
        <f aca="false">G14-G29</f>
        <v>13356382790.9586</v>
      </c>
      <c r="H33" s="60" t="n">
        <f aca="false">H14-H29</f>
        <v>16595088175.1385</v>
      </c>
      <c r="I33" s="60" t="n">
        <f aca="false">I14-I29</f>
        <v>19953267284.378</v>
      </c>
      <c r="J33" s="60" t="n">
        <f aca="false">J14-J29</f>
        <v>23432013091.7327</v>
      </c>
    </row>
    <row r="34" customFormat="false" ht="15" hidden="false" customHeight="true" outlineLevel="0" collapsed="false">
      <c r="A34" s="2"/>
      <c r="B34" s="9"/>
      <c r="C34" s="9"/>
      <c r="D34" s="9"/>
      <c r="E34" s="9"/>
      <c r="F34" s="9"/>
      <c r="G34" s="9"/>
      <c r="H34" s="9"/>
      <c r="I34" s="9"/>
      <c r="J34" s="9"/>
    </row>
    <row r="35" customFormat="false" ht="15" hidden="false" customHeight="false" outlineLevel="0" collapsed="false">
      <c r="A35" s="2"/>
      <c r="B35" s="56" t="s">
        <v>765</v>
      </c>
      <c r="C35" s="2"/>
      <c r="D35" s="2"/>
      <c r="E35" s="2"/>
      <c r="F35" s="2"/>
      <c r="G35" s="2"/>
      <c r="H35" s="2"/>
      <c r="I35" s="2"/>
      <c r="J35" s="2"/>
    </row>
    <row r="36" customFormat="false" ht="15" hidden="false" customHeight="true" outlineLevel="0" collapsed="false">
      <c r="A36" s="2"/>
      <c r="B36" s="19" t="s">
        <v>766</v>
      </c>
      <c r="C36" s="66" t="n">
        <f aca="false">SUM(Deuda!C26:N26)</f>
        <v>1857394694.66667</v>
      </c>
      <c r="D36" s="66" t="n">
        <f aca="false">SUM(Deuda!O26:Z26)</f>
        <v>1857394694.66666</v>
      </c>
      <c r="E36" s="66" t="n">
        <f aca="false">SUM(Deuda!AA26:AL26)</f>
        <v>0</v>
      </c>
      <c r="F36" s="66" t="n">
        <f aca="false">SUM(Deuda!AM26:AX26)</f>
        <v>0</v>
      </c>
      <c r="G36" s="66" t="n">
        <f aca="false">SUM(Deuda!AY26:BJ26)</f>
        <v>0</v>
      </c>
      <c r="H36" s="66" t="n">
        <f aca="false">SUM(Deuda!BK26:BV26)</f>
        <v>0</v>
      </c>
      <c r="I36" s="66" t="n">
        <f aca="false">SUM(Deuda!BW26:CH26)</f>
        <v>0</v>
      </c>
      <c r="J36" s="66" t="n">
        <f aca="false">SUM(Deuda!CI26:CT26)</f>
        <v>0</v>
      </c>
    </row>
    <row r="37" customFormat="false" ht="15" hidden="false" customHeight="true" outlineLevel="0" collapsed="false">
      <c r="A37" s="2"/>
      <c r="B37" s="19" t="s">
        <v>767</v>
      </c>
      <c r="C37" s="66" t="n">
        <f aca="false">SUM(Deuda!C29:N29)</f>
        <v>15000000000</v>
      </c>
      <c r="D37" s="66" t="n">
        <f aca="false">SUM(Deuda!O29:Z29)</f>
        <v>11250000000</v>
      </c>
      <c r="E37" s="66" t="n">
        <f aca="false">SUM(Deuda!AA29:AL29)</f>
        <v>0</v>
      </c>
      <c r="F37" s="66" t="n">
        <f aca="false">SUM(Deuda!AM29:AX29)</f>
        <v>0</v>
      </c>
      <c r="G37" s="66" t="n">
        <f aca="false">SUM(Deuda!AY29:BJ29)</f>
        <v>0</v>
      </c>
      <c r="H37" s="66" t="n">
        <f aca="false">SUM(Deuda!BK29:BV29)</f>
        <v>0</v>
      </c>
      <c r="I37" s="66" t="n">
        <f aca="false">SUM(Deuda!BW29:CH29)</f>
        <v>0</v>
      </c>
      <c r="J37" s="66" t="n">
        <f aca="false">SUM(Deuda!CI29:CT29)</f>
        <v>0</v>
      </c>
    </row>
    <row r="38" customFormat="false" ht="15" hidden="false" customHeight="true" outlineLevel="0" collapsed="false">
      <c r="A38" s="2"/>
      <c r="B38" s="19" t="s">
        <v>768</v>
      </c>
      <c r="C38" s="66" t="n">
        <f aca="false">SUM('Gastos objeto'!C14:N14)</f>
        <v>170095389.11</v>
      </c>
      <c r="D38" s="66" t="n">
        <f aca="false">SUM('Gastos objeto'!O14:Z14)</f>
        <v>170095389.11</v>
      </c>
      <c r="E38" s="66" t="n">
        <f aca="false">SUM('Gastos objeto'!AA14:AL14)</f>
        <v>170095389.11</v>
      </c>
      <c r="F38" s="66" t="n">
        <f aca="false">SUM('Gastos objeto'!AM14:AX14)</f>
        <v>170095389.11</v>
      </c>
      <c r="G38" s="66" t="n">
        <f aca="false">SUM('Gastos objeto'!AY14:BJ14)</f>
        <v>170095389.11</v>
      </c>
      <c r="H38" s="66" t="n">
        <f aca="false">SUM('Gastos objeto'!BK14:BV14)</f>
        <v>170095389.11</v>
      </c>
      <c r="I38" s="66" t="n">
        <f aca="false">SUM('Gastos objeto'!BW14:CH14)</f>
        <v>170095389.11</v>
      </c>
      <c r="J38" s="66" t="n">
        <f aca="false">SUM('Gastos objeto'!CI14:CT14)</f>
        <v>170095389.11</v>
      </c>
    </row>
    <row r="39" customFormat="false" ht="15" hidden="false" customHeight="true" outlineLevel="0" collapsed="false">
      <c r="A39" s="2"/>
      <c r="B39" s="19" t="s">
        <v>769</v>
      </c>
      <c r="C39" s="66" t="n">
        <f aca="false">SUM('Flujo mensual'!C46:N46)</f>
        <v>23901584790.8545</v>
      </c>
      <c r="D39" s="66" t="n">
        <f aca="false">SUM('Flujo mensual'!O46:Z46)</f>
        <v>25288702242.3527</v>
      </c>
      <c r="E39" s="66" t="n">
        <f aca="false">SUM('Flujo mensual'!AA46:AL46)</f>
        <v>40949509790.2322</v>
      </c>
      <c r="F39" s="66" t="n">
        <f aca="false">SUM('Flujo mensual'!AM46:AX46)</f>
        <v>43773556345.5389</v>
      </c>
      <c r="G39" s="66" t="n">
        <f aca="false">SUM('Flujo mensual'!AY46:BJ46)</f>
        <v>47300831617.9707</v>
      </c>
      <c r="H39" s="66" t="n">
        <f aca="false">SUM('Flujo mensual'!BK46:BV46)</f>
        <v>51029979950.1069</v>
      </c>
      <c r="I39" s="66" t="n">
        <f aca="false">SUM('Flujo mensual'!BW46:CH46)</f>
        <v>54916617273.0471</v>
      </c>
      <c r="J39" s="66" t="n">
        <f aca="false">SUM('Flujo mensual'!CI46:CT46)</f>
        <v>58963423864.1255</v>
      </c>
    </row>
    <row r="40" customFormat="false" ht="15" hidden="false" customHeight="true" outlineLevel="0" collapsed="false">
      <c r="A40" s="2"/>
      <c r="B40" s="19" t="s">
        <v>770</v>
      </c>
      <c r="C40" s="66" t="n">
        <f aca="false">'Flujo mensual'!N49</f>
        <v>30501584790.8545</v>
      </c>
      <c r="D40" s="66" t="n">
        <f aca="false">'Flujo mensual'!Z49</f>
        <v>55790287033.2072</v>
      </c>
      <c r="E40" s="66" t="n">
        <f aca="false">'Flujo mensual'!AL49</f>
        <v>96739796823.4395</v>
      </c>
      <c r="F40" s="66" t="n">
        <f aca="false">'Flujo mensual'!AX49</f>
        <v>140513353168.978</v>
      </c>
      <c r="G40" s="66" t="n">
        <f aca="false">'Flujo mensual'!BJ49</f>
        <v>187814184786.949</v>
      </c>
      <c r="H40" s="66" t="n">
        <f aca="false">'Flujo mensual'!BV49</f>
        <v>238844164737.056</v>
      </c>
      <c r="I40" s="66" t="n">
        <f aca="false">'Flujo mensual'!CH49</f>
        <v>293760782010.103</v>
      </c>
      <c r="J40" s="66" t="n">
        <f aca="false">'Flujo mensual'!CT49</f>
        <v>352724205874.229</v>
      </c>
    </row>
    <row r="41" customFormat="false" ht="15" hidden="false" customHeight="true" outlineLevel="0" collapsed="false">
      <c r="A41" s="2"/>
      <c r="B41" s="19" t="s">
        <v>771</v>
      </c>
      <c r="C41" s="66" t="n">
        <f aca="false">Deuda!N27</f>
        <v>1857394694.66667</v>
      </c>
      <c r="D41" s="66" t="n">
        <f aca="false">Deuda!Z27</f>
        <v>0</v>
      </c>
      <c r="E41" s="66" t="n">
        <f aca="false">Deuda!AL27</f>
        <v>0</v>
      </c>
      <c r="F41" s="66" t="n">
        <f aca="false">Deuda!AX27</f>
        <v>0</v>
      </c>
      <c r="G41" s="66" t="n">
        <f aca="false">Deuda!BJ27</f>
        <v>0</v>
      </c>
      <c r="H41" s="66" t="n">
        <f aca="false">Deuda!BV27</f>
        <v>0</v>
      </c>
      <c r="I41" s="66" t="n">
        <f aca="false">Deuda!CH27</f>
        <v>0</v>
      </c>
      <c r="J41" s="66" t="n">
        <f aca="false">Deuda!CT27</f>
        <v>0</v>
      </c>
    </row>
    <row r="42" customFormat="false" ht="15" hidden="false" customHeight="true" outlineLevel="0" collapsed="false">
      <c r="A42" s="2"/>
      <c r="B42" s="19" t="s">
        <v>772</v>
      </c>
      <c r="C42" s="66" t="n">
        <f aca="false">Deuda!N30</f>
        <v>11250000000</v>
      </c>
      <c r="D42" s="66" t="n">
        <f aca="false">Deuda!Z30</f>
        <v>0</v>
      </c>
      <c r="E42" s="66" t="n">
        <f aca="false">Deuda!AL30</f>
        <v>0</v>
      </c>
      <c r="F42" s="66" t="n">
        <f aca="false">Deuda!AX30</f>
        <v>0</v>
      </c>
      <c r="G42" s="66" t="n">
        <f aca="false">Deuda!BJ30</f>
        <v>0</v>
      </c>
      <c r="H42" s="66" t="n">
        <f aca="false">Deuda!BV30</f>
        <v>0</v>
      </c>
      <c r="I42" s="66" t="n">
        <f aca="false">Deuda!CH30</f>
        <v>0</v>
      </c>
      <c r="J42" s="66" t="n">
        <f aca="false">Deuda!CT30</f>
        <v>0</v>
      </c>
    </row>
    <row r="43" customFormat="false" ht="15" hidden="false" customHeight="true" outlineLevel="0" collapsed="false">
      <c r="A43" s="2"/>
      <c r="B43" s="19" t="s">
        <v>773</v>
      </c>
      <c r="C43" s="66" t="n">
        <f aca="false">Deuda!N15</f>
        <v>3270066457.58991</v>
      </c>
      <c r="D43" s="66" t="n">
        <f aca="false">Deuda!Z15</f>
        <v>3434738914.40548</v>
      </c>
      <c r="E43" s="66" t="n">
        <f aca="false">Deuda!AL15</f>
        <v>3585263790.64658</v>
      </c>
      <c r="F43" s="66" t="n">
        <f aca="false">Deuda!AX15</f>
        <v>3632291368.00653</v>
      </c>
      <c r="G43" s="66" t="n">
        <f aca="false">Deuda!BJ15</f>
        <v>3632291368.0065</v>
      </c>
      <c r="H43" s="66" t="n">
        <f aca="false">Deuda!BV15</f>
        <v>3632291368.00647</v>
      </c>
      <c r="I43" s="66" t="n">
        <f aca="false">Deuda!CH15</f>
        <v>3632291368.00645</v>
      </c>
      <c r="J43" s="66" t="n">
        <f aca="false">Deuda!CT15</f>
        <v>3632291368.00642</v>
      </c>
    </row>
    <row r="44" customFormat="false" ht="15" hidden="false" customHeight="false" outlineLevel="0" collapsed="false">
      <c r="A44" s="2"/>
      <c r="B44" s="2"/>
      <c r="C44" s="2"/>
      <c r="D44" s="2"/>
      <c r="E44" s="2"/>
      <c r="F44" s="2"/>
      <c r="G44" s="2"/>
      <c r="H44" s="2"/>
      <c r="I44" s="2"/>
      <c r="J44" s="2"/>
    </row>
    <row r="45" customFormat="false" ht="15" hidden="false" customHeight="true" outlineLevel="0" collapsed="false">
      <c r="A45" s="2"/>
      <c r="B45" s="56" t="s">
        <v>774</v>
      </c>
      <c r="C45" s="2"/>
      <c r="D45" s="2"/>
      <c r="E45" s="2"/>
      <c r="F45" s="2"/>
      <c r="G45" s="2"/>
      <c r="H45" s="2"/>
      <c r="I45" s="2"/>
      <c r="J45" s="2"/>
    </row>
    <row r="46" customFormat="false" ht="15" hidden="false" customHeight="false" outlineLevel="0" collapsed="false">
      <c r="A46" s="2"/>
      <c r="B46" s="19" t="s">
        <v>775</v>
      </c>
      <c r="C46" s="88" t="n">
        <f aca="false">SUM(Recursos!C13:N13)/(SUM(Recursos!C13:N13)+SUM(Recursos!C22:N22))</f>
        <v>0.893239579555475</v>
      </c>
      <c r="D46" s="88" t="n">
        <f aca="false">SUM(Recursos!O13:Z13)/(SUM(Recursos!O13:Z13)+SUM(Recursos!O22:Z22))</f>
        <v>0.893239579555475</v>
      </c>
      <c r="E46" s="88" t="n">
        <f aca="false">SUM(Recursos!AA13:AL13)/(SUM(Recursos!AA13:AL13)+SUM(Recursos!AA22:AL22))</f>
        <v>0.893239579555475</v>
      </c>
      <c r="F46" s="88" t="n">
        <f aca="false">SUM(Recursos!AM13:AX13)/(SUM(Recursos!AM13:AX13)+SUM(Recursos!AM22:AX22))</f>
        <v>0.893239579555475</v>
      </c>
      <c r="G46" s="88" t="n">
        <f aca="false">SUM(Recursos!AY13:BJ13)/(SUM(Recursos!AY13:BJ13)+SUM(Recursos!AY22:BJ22))</f>
        <v>0.893239579555475</v>
      </c>
      <c r="H46" s="88" t="n">
        <f aca="false">SUM(Recursos!BK13:BV13)/(SUM(Recursos!BK13:BV13)+SUM(Recursos!BK22:BV22))</f>
        <v>0.893239579555475</v>
      </c>
      <c r="I46" s="88" t="n">
        <f aca="false">SUM(Recursos!BW13:CH13)/(SUM(Recursos!BW13:CH13)+SUM(Recursos!BW22:CH22))</f>
        <v>0.893239579555475</v>
      </c>
      <c r="J46" s="88" t="n">
        <f aca="false">SUM(Recursos!CI13:CT13)/(SUM(Recursos!CI13:CT13)+SUM(Recursos!CI22:CT22))</f>
        <v>0.893239579555475</v>
      </c>
    </row>
    <row r="47" customFormat="false" ht="15" hidden="false" customHeight="false" outlineLevel="0" collapsed="false">
      <c r="A47" s="2"/>
      <c r="B47" s="19" t="s">
        <v>776</v>
      </c>
      <c r="C47" s="44" t="n">
        <f aca="false">IFERROR(C25/C24,0)</f>
        <v>0.125</v>
      </c>
      <c r="D47" s="44" t="n">
        <f aca="false">IFERROR(D25/D24,0)</f>
        <v>0.25</v>
      </c>
      <c r="E47" s="44" t="n">
        <f aca="false">IFERROR(E25/E24,0)</f>
        <v>0.375</v>
      </c>
      <c r="F47" s="44" t="n">
        <f aca="false">IFERROR(F25/F24,0)</f>
        <v>0.5</v>
      </c>
      <c r="G47" s="44" t="n">
        <f aca="false">IFERROR(G25/G24,0)</f>
        <v>0.5</v>
      </c>
      <c r="H47" s="44" t="n">
        <f aca="false">IFERROR(H25/H24,0)</f>
        <v>0.5</v>
      </c>
      <c r="I47" s="44" t="n">
        <f aca="false">IFERROR(I25/I24,0)</f>
        <v>0.5</v>
      </c>
      <c r="J47" s="44" t="n">
        <f aca="false">IFERROR(J25/J24,0)</f>
        <v>0.5</v>
      </c>
    </row>
    <row r="48" customFormat="false" ht="15" hidden="false" customHeight="false" outlineLevel="0" collapsed="false">
      <c r="A48" s="2"/>
      <c r="B48" s="19" t="s">
        <v>777</v>
      </c>
      <c r="C48" s="89" t="n">
        <f aca="false">IFERROR(C25/Supuestos!$C$127,0)</f>
        <v>0.0222845375405528</v>
      </c>
      <c r="D48" s="89" t="n">
        <f aca="false">IFERROR(D25/Supuestos!$C$127,0)</f>
        <v>0.0445690750811055</v>
      </c>
      <c r="E48" s="89" t="n">
        <f aca="false">IFERROR(E25/Supuestos!$C$127,0)</f>
        <v>0.0668536126216583</v>
      </c>
      <c r="F48" s="89" t="n">
        <f aca="false">IFERROR(F25/Supuestos!$C$127,0)</f>
        <v>0.0891381501622111</v>
      </c>
      <c r="G48" s="89" t="n">
        <f aca="false">IFERROR(G25/Supuestos!$C$127,0)</f>
        <v>0.0891381501622111</v>
      </c>
      <c r="H48" s="89" t="n">
        <f aca="false">IFERROR(H25/Supuestos!$C$127,0)</f>
        <v>0.0891381501622111</v>
      </c>
      <c r="I48" s="89" t="n">
        <f aca="false">IFERROR(I25/Supuestos!$C$127,0)</f>
        <v>0.0891381501622111</v>
      </c>
      <c r="J48" s="89" t="n">
        <f aca="false">IFERROR(J25/Supuestos!$C$127,0)</f>
        <v>0.0891381501622111</v>
      </c>
    </row>
    <row r="49" customFormat="false" ht="15" hidden="false" customHeight="false" outlineLevel="0" collapsed="false">
      <c r="A49" s="2"/>
      <c r="B49" s="19" t="s">
        <v>778</v>
      </c>
      <c r="C49" s="44" t="n">
        <f aca="false">IFERROR(C33/C14,0)</f>
        <v>0.00504440836981891</v>
      </c>
      <c r="D49" s="44" t="n">
        <f aca="false">IFERROR(D33/D14,0)</f>
        <v>0.0175394674900541</v>
      </c>
      <c r="E49" s="44" t="n">
        <f aca="false">IFERROR(E33/E14,0)</f>
        <v>0.0240399406892646</v>
      </c>
      <c r="F49" s="44" t="n">
        <f aca="false">IFERROR(F33/F14,0)</f>
        <v>0.0314516636191978</v>
      </c>
      <c r="G49" s="44" t="n">
        <f aca="false">IFERROR(G33/G14,0)</f>
        <v>0.0406493644858814</v>
      </c>
      <c r="H49" s="44" t="n">
        <f aca="false">IFERROR(H33/H14,0)</f>
        <v>0.0500132030046789</v>
      </c>
      <c r="I49" s="44" t="n">
        <f aca="false">IFERROR(I33/I14,0)</f>
        <v>0.0595313690040216</v>
      </c>
      <c r="J49" s="44" t="n">
        <f aca="false">IFERROR(J33/J14,0)</f>
        <v>0.0691922016463601</v>
      </c>
    </row>
    <row r="50" customFormat="false" ht="15" hidden="false" customHeight="false" outlineLevel="0" collapsed="false">
      <c r="A50" s="2"/>
      <c r="B50" s="19" t="s">
        <v>779</v>
      </c>
      <c r="C50" s="89" t="n">
        <f aca="false">'Gastos objeto'!H26</f>
        <v>0.725637541455192</v>
      </c>
      <c r="D50" s="89" t="n">
        <f aca="false">'Gastos objeto'!T26</f>
        <v>0.72177202421479</v>
      </c>
      <c r="E50" s="89" t="n">
        <f aca="false">'Gastos objeto'!AF26</f>
        <v>0.716863626737028</v>
      </c>
      <c r="F50" s="89" t="n">
        <f aca="false">'Gastos objeto'!AR26</f>
        <v>0.715774557236712</v>
      </c>
      <c r="G50" s="89" t="n">
        <f aca="false">'Gastos objeto'!BD26</f>
        <v>0.715774557236712</v>
      </c>
      <c r="H50" s="89" t="n">
        <f aca="false">'Gastos objeto'!BP26</f>
        <v>0.715774557236712</v>
      </c>
      <c r="I50" s="89" t="n">
        <f aca="false">'Gastos objeto'!CB26</f>
        <v>0.715774557236712</v>
      </c>
      <c r="J50" s="89" t="n">
        <f aca="false">'Gastos objeto'!CN26</f>
        <v>0.715774557236712</v>
      </c>
    </row>
    <row r="51" customFormat="false" ht="15" hidden="false" customHeight="false" outlineLevel="0" collapsed="false">
      <c r="A51" s="2"/>
      <c r="B51" s="19" t="s">
        <v>780</v>
      </c>
      <c r="C51" s="89" t="n">
        <f aca="false">'Gastos función'!H30</f>
        <v>0.251893303842735</v>
      </c>
      <c r="D51" s="89" t="n">
        <f aca="false">'Gastos función'!T30</f>
        <v>0.251690746664185</v>
      </c>
      <c r="E51" s="89" t="n">
        <f aca="false">'Gastos función'!AF30</f>
        <v>0.248614609035241</v>
      </c>
      <c r="F51" s="89" t="n">
        <f aca="false">'Gastos función'!AR30</f>
        <v>0.248172984768285</v>
      </c>
      <c r="G51" s="89" t="n">
        <f aca="false">'Gastos función'!BD30</f>
        <v>0.248172984768285</v>
      </c>
      <c r="H51" s="89" t="n">
        <f aca="false">'Gastos función'!BP30</f>
        <v>0.248172984768285</v>
      </c>
      <c r="I51" s="89" t="n">
        <f aca="false">'Gastos función'!CB30</f>
        <v>0.248172984768285</v>
      </c>
      <c r="J51" s="89" t="n">
        <f aca="false">'Gastos función'!CN30</f>
        <v>0.248172984768285</v>
      </c>
    </row>
    <row r="52" customFormat="false" ht="15" hidden="false" customHeight="false" outlineLevel="0" collapsed="false">
      <c r="A52" s="2"/>
      <c r="B52" s="19" t="s">
        <v>781</v>
      </c>
      <c r="C52" s="66" t="n">
        <f aca="false">SUM(Programas!C27:N27)</f>
        <v>2312000204.83344</v>
      </c>
      <c r="D52" s="66" t="n">
        <f aca="false">SUM(Programas!O27:Z27)</f>
        <v>4118298719.72688</v>
      </c>
      <c r="E52" s="66" t="n">
        <f aca="false">SUM(Programas!AA27:AL27)</f>
        <v>5924597234.62031</v>
      </c>
      <c r="F52" s="66" t="n">
        <f aca="false">SUM(Programas!AM27:AX27)</f>
        <v>7730895749.51375</v>
      </c>
      <c r="G52" s="66" t="n">
        <f aca="false">SUM(Programas!AY27:BJ27)</f>
        <v>7730895749.51375</v>
      </c>
      <c r="H52" s="66" t="n">
        <f aca="false">SUM(Programas!BK27:BV27)</f>
        <v>7730895749.51375</v>
      </c>
      <c r="I52" s="66" t="n">
        <f aca="false">SUM(Programas!BW27:CH27)</f>
        <v>7730895749.51375</v>
      </c>
      <c r="J52" s="66" t="n">
        <f aca="false">SUM(Programas!CI27:CT27)</f>
        <v>7730895749.51375</v>
      </c>
    </row>
    <row r="53" customFormat="false" ht="15" hidden="false" customHeight="false" outlineLevel="0" collapsed="false">
      <c r="A53" s="2"/>
      <c r="B53" s="19" t="s">
        <v>782</v>
      </c>
      <c r="C53" s="66" t="n">
        <f aca="false">SUM(Programas!C9:N9)+SUM(Programas!C17:N17)</f>
        <v>1636527548</v>
      </c>
      <c r="D53" s="66" t="n">
        <f aca="false">SUM(Programas!O9:Z9)+SUM(Programas!O17:Z17)</f>
        <v>3612597029.78688</v>
      </c>
      <c r="E53" s="66" t="n">
        <f aca="false">SUM(Programas!AA9:AL9)+SUM(Programas!AA17:AL17)</f>
        <v>5418895544.68031</v>
      </c>
      <c r="F53" s="66" t="n">
        <f aca="false">SUM(Programas!AM9:AX9)+SUM(Programas!AM17:AX17)</f>
        <v>5983226473</v>
      </c>
      <c r="G53" s="66" t="n">
        <f aca="false">SUM(Programas!AY9:BJ9)+SUM(Programas!AY17:BJ17)</f>
        <v>5983226473</v>
      </c>
      <c r="H53" s="66" t="n">
        <f aca="false">SUM(Programas!BK9:BV9)+SUM(Programas!BK17:BV17)</f>
        <v>5983226473</v>
      </c>
      <c r="I53" s="66" t="n">
        <f aca="false">SUM(Programas!BW9:CH9)+SUM(Programas!BW17:CH17)</f>
        <v>5983226473</v>
      </c>
      <c r="J53" s="66" t="n">
        <f aca="false">SUM(Programas!CI9:CT9)+SUM(Programas!CI17:CT17)</f>
        <v>5983226473</v>
      </c>
    </row>
    <row r="54" customFormat="false" ht="15" hidden="false" customHeight="false" outlineLevel="0" collapsed="false">
      <c r="A54" s="2"/>
      <c r="B54" s="19" t="s">
        <v>783</v>
      </c>
      <c r="C54" s="90" t="n">
        <f aca="false">SUM(Programas!C37:N37)</f>
        <v>0</v>
      </c>
      <c r="D54" s="90" t="n">
        <f aca="false">SUM(Programas!O37:Z37)</f>
        <v>0</v>
      </c>
      <c r="E54" s="90" t="n">
        <f aca="false">SUM(Programas!AA37:AL37)</f>
        <v>462</v>
      </c>
      <c r="F54" s="90" t="n">
        <f aca="false">SUM(Programas!AM37:AX37)</f>
        <v>824</v>
      </c>
      <c r="G54" s="90" t="n">
        <f aca="false">SUM(Programas!AY37:BJ37)</f>
        <v>711</v>
      </c>
      <c r="H54" s="90" t="n">
        <f aca="false">SUM(Programas!BK37:BV37)</f>
        <v>928</v>
      </c>
      <c r="I54" s="90" t="n">
        <f aca="false">SUM(Programas!BW37:CH37)</f>
        <v>928</v>
      </c>
      <c r="J54" s="90" t="n">
        <f aca="false">SUM(Programas!CI37:CT37)</f>
        <v>928</v>
      </c>
    </row>
    <row r="55" customFormat="false" ht="15" hidden="false" customHeight="false" outlineLevel="0" collapsed="false">
      <c r="A55" s="2"/>
      <c r="B55" s="2"/>
      <c r="C55" s="2"/>
      <c r="D55" s="2"/>
      <c r="E55" s="2"/>
      <c r="F55" s="2"/>
      <c r="G55" s="2"/>
      <c r="H55" s="2"/>
      <c r="I55" s="2"/>
      <c r="J55" s="2"/>
    </row>
    <row r="56" customFormat="false" ht="34.5" hidden="false" customHeight="true" outlineLevel="0" collapsed="false">
      <c r="A56" s="2"/>
      <c r="B56" s="91" t="s">
        <v>784</v>
      </c>
      <c r="C56" s="50" t="s">
        <v>785</v>
      </c>
      <c r="D56" s="72" t="s">
        <v>786</v>
      </c>
      <c r="E56" s="50" t="s">
        <v>787</v>
      </c>
      <c r="F56" s="2"/>
      <c r="G56" s="2"/>
      <c r="H56" s="2"/>
      <c r="I56" s="2"/>
      <c r="J56" s="2"/>
    </row>
    <row r="57" customFormat="false" ht="27" hidden="false" customHeight="true" outlineLevel="0" collapsed="false">
      <c r="A57" s="2"/>
      <c r="B57" s="14" t="s">
        <v>788</v>
      </c>
      <c r="C57" s="66" t="n">
        <f aca="false">Supuestos!C121</f>
        <v>301154665135.71</v>
      </c>
      <c r="D57" s="57" t="n">
        <f aca="false">Supuestos!C114*SUM(Estacionalidad!C6:N6)+Supuestos!C115*SUM(Estacionalidad!C7:N7)+(Supuestos!C116+Supuestos!C117)*SUM(Estacionalidad!C8:N8)</f>
        <v>301154665135.71</v>
      </c>
      <c r="E57" s="92" t="n">
        <f aca="false">ROUND(D57-C57,2)</f>
        <v>0</v>
      </c>
      <c r="F57" s="2"/>
      <c r="G57" s="2"/>
      <c r="H57" s="2"/>
      <c r="I57" s="2"/>
      <c r="J57" s="2"/>
    </row>
    <row r="58" customFormat="false" ht="15" hidden="false" customHeight="false" outlineLevel="0" collapsed="false">
      <c r="A58" s="2"/>
      <c r="B58" s="19" t="s">
        <v>789</v>
      </c>
      <c r="C58" s="66" t="n">
        <f aca="false">Supuestos!C121</f>
        <v>301154665135.71</v>
      </c>
      <c r="D58" s="57" t="n">
        <f aca="false">Supuestos!C7+Supuestos!C9+Supuestos!C10+Supuestos!C11</f>
        <v>301154665135.71</v>
      </c>
      <c r="E58" s="92" t="n">
        <f aca="false">ROUND(D58-C58,2)</f>
        <v>0</v>
      </c>
      <c r="F58" s="2"/>
      <c r="G58" s="2"/>
      <c r="H58" s="2"/>
      <c r="I58" s="2"/>
      <c r="J58" s="2"/>
    </row>
    <row r="59" customFormat="false" ht="15" hidden="false" customHeight="false" outlineLevel="0" collapsed="false">
      <c r="A59" s="2"/>
      <c r="B59" s="19" t="s">
        <v>228</v>
      </c>
      <c r="C59" s="66" t="n">
        <f aca="false">Supuestos!C122</f>
        <v>2030100797.22</v>
      </c>
      <c r="D59" s="57" t="n">
        <f aca="false">Supuestos!C12*SUM(Estacionalidad!C9:N9)</f>
        <v>2030100797.22</v>
      </c>
      <c r="E59" s="92" t="n">
        <f aca="false">ROUND(D59-C59,2)</f>
        <v>0</v>
      </c>
      <c r="F59" s="2"/>
      <c r="G59" s="2"/>
      <c r="H59" s="2"/>
      <c r="I59" s="2"/>
      <c r="J59" s="2"/>
    </row>
    <row r="60" customFormat="false" ht="15" hidden="false" customHeight="false" outlineLevel="0" collapsed="false">
      <c r="A60" s="2"/>
      <c r="B60" s="19" t="s">
        <v>790</v>
      </c>
      <c r="C60" s="66" t="n">
        <f aca="false">Supuestos!C123</f>
        <v>251403592133.29</v>
      </c>
      <c r="D60" s="57" t="n">
        <f aca="false">Supuestos!C15*(12/13*SUM(Estacionalidad!C10:N10)+1/13*SUM(Estacionalidad!C11:N11))+Supuestos!C17*SUM(Estacionalidad!C12:N12)+Supuestos!C19*SUM(Estacionalidad!C13:N13)+Supuestos!C23*SUM(Estacionalidad!C15:N15)-Supuestos!C126</f>
        <v>251403592133.29</v>
      </c>
      <c r="E60" s="92" t="n">
        <f aca="false">ROUND(D60-C60,2)</f>
        <v>0</v>
      </c>
      <c r="F60" s="2"/>
      <c r="G60" s="2"/>
      <c r="H60" s="2"/>
      <c r="I60" s="2"/>
      <c r="J60" s="2"/>
    </row>
    <row r="61" customFormat="false" ht="15" hidden="false" customHeight="false" outlineLevel="0" collapsed="false">
      <c r="A61" s="2"/>
      <c r="B61" s="19" t="s">
        <v>231</v>
      </c>
      <c r="C61" s="66" t="n">
        <f aca="false">Supuestos!C124</f>
        <v>57832237847.26</v>
      </c>
      <c r="D61" s="57" t="n">
        <f aca="false">Supuestos!C21*SUM(Estacionalidad!C14:N14)+Supuestos!C126</f>
        <v>57832237847.26</v>
      </c>
      <c r="E61" s="92" t="n">
        <f aca="false">ROUND(D61-C61,2)</f>
        <v>0</v>
      </c>
      <c r="F61" s="2"/>
      <c r="G61" s="2"/>
      <c r="H61" s="2"/>
      <c r="I61" s="2"/>
      <c r="J61" s="2"/>
    </row>
    <row r="62" customFormat="false" ht="15" hidden="false" customHeight="false" outlineLevel="0" collapsed="false">
      <c r="A62" s="2"/>
      <c r="B62" s="19" t="s">
        <v>791</v>
      </c>
      <c r="C62" s="66" t="n">
        <f aca="false">Supuestos!C123+Supuestos!C124</f>
        <v>309235829980.55</v>
      </c>
      <c r="D62" s="57" t="n">
        <f aca="false">Supuestos!C15+Supuestos!C17+Supuestos!C19+Supuestos!C21+Supuestos!C23</f>
        <v>309235829980.55</v>
      </c>
      <c r="E62" s="92" t="n">
        <f aca="false">ROUND(D62-C62,2)</f>
        <v>0</v>
      </c>
      <c r="F62" s="2"/>
      <c r="G62" s="2"/>
      <c r="H62" s="2"/>
      <c r="I62" s="2"/>
      <c r="J62" s="2"/>
    </row>
    <row r="63" customFormat="false" ht="15" hidden="false" customHeight="false" outlineLevel="0" collapsed="false">
      <c r="A63" s="2"/>
      <c r="B63" s="19" t="s">
        <v>792</v>
      </c>
      <c r="C63" s="66" t="n">
        <f aca="false">Supuestos!C123+Supuestos!C124</f>
        <v>309235829980.55</v>
      </c>
      <c r="D63" s="57" t="n">
        <f aca="false">Supuestos!C208-Supuestos!C207</f>
        <v>309235829980.55</v>
      </c>
      <c r="E63" s="92" t="n">
        <f aca="false">ROUND(D63-C63,2)</f>
        <v>0</v>
      </c>
      <c r="F63" s="2"/>
      <c r="G63" s="2"/>
      <c r="H63" s="2"/>
      <c r="I63" s="2"/>
      <c r="J63" s="2"/>
    </row>
    <row r="64" customFormat="false" ht="15" hidden="false" customHeight="false" outlineLevel="0" collapsed="false">
      <c r="A64" s="2"/>
      <c r="B64" s="19" t="s">
        <v>232</v>
      </c>
      <c r="C64" s="66" t="n">
        <f aca="false">Supuestos!C125</f>
        <v>-6051064047.62</v>
      </c>
      <c r="D64" s="57" t="n">
        <f aca="false">D57+D59-D60-D61</f>
        <v>-6051064047.62008</v>
      </c>
      <c r="E64" s="92" t="n">
        <f aca="false">ROUND(D64-C64,2)</f>
        <v>-0</v>
      </c>
      <c r="F64" s="2"/>
      <c r="G64" s="2"/>
      <c r="H64" s="2"/>
      <c r="I64" s="2"/>
      <c r="J64" s="2"/>
    </row>
    <row r="65" customFormat="false" ht="15" hidden="false" customHeight="false" outlineLevel="0" collapsed="false">
      <c r="A65" s="2"/>
      <c r="B65" s="2"/>
      <c r="C65" s="2"/>
      <c r="D65" s="2"/>
      <c r="E65" s="2"/>
      <c r="F65" s="2"/>
      <c r="G65" s="2"/>
      <c r="H65" s="2"/>
      <c r="I65" s="2"/>
      <c r="J65" s="2"/>
    </row>
    <row r="66" customFormat="false" ht="15" hidden="false" customHeight="false" outlineLevel="0" collapsed="false">
      <c r="A66" s="2"/>
      <c r="B66" s="56" t="s">
        <v>793</v>
      </c>
      <c r="C66" s="2"/>
      <c r="D66" s="2"/>
      <c r="E66" s="2"/>
      <c r="F66" s="2"/>
      <c r="G66" s="2"/>
      <c r="H66" s="2"/>
      <c r="I66" s="2"/>
      <c r="J66" s="2"/>
    </row>
    <row r="67" customFormat="false" ht="15" hidden="false" customHeight="false" outlineLevel="0" collapsed="false">
      <c r="A67" s="2"/>
      <c r="B67" s="19" t="s">
        <v>794</v>
      </c>
      <c r="C67" s="83" t="n">
        <v>1576000000</v>
      </c>
      <c r="D67" s="83" t="n">
        <v>4347000000</v>
      </c>
      <c r="E67" s="83" t="n">
        <v>7233000000</v>
      </c>
      <c r="F67" s="83" t="n">
        <v>10236000000</v>
      </c>
      <c r="G67" s="2"/>
      <c r="H67" s="2"/>
      <c r="I67" s="2"/>
      <c r="J67" s="2"/>
    </row>
    <row r="68" customFormat="false" ht="15" hidden="false" customHeight="false" outlineLevel="0" collapsed="false">
      <c r="A68" s="2"/>
      <c r="B68" s="19" t="s">
        <v>795</v>
      </c>
      <c r="C68" s="57" t="n">
        <f aca="false">Escenarios!C6</f>
        <v>1576117703.59821</v>
      </c>
      <c r="D68" s="57" t="n">
        <f aca="false">Escenarios!D6</f>
        <v>4346899572.40034</v>
      </c>
      <c r="E68" s="57" t="n">
        <f aca="false">Escenarios!E6</f>
        <v>7233261712.99409</v>
      </c>
      <c r="F68" s="57" t="n">
        <f aca="false">Escenarios!F6</f>
        <v>10236106302.1227</v>
      </c>
      <c r="G68" s="2"/>
      <c r="H68" s="2"/>
      <c r="I68" s="2"/>
      <c r="J68" s="2"/>
    </row>
    <row r="69" customFormat="false" ht="15" hidden="false" customHeight="false" outlineLevel="0" collapsed="false">
      <c r="A69" s="2"/>
      <c r="B69" s="46" t="s">
        <v>787</v>
      </c>
      <c r="C69" s="92" t="n">
        <f aca="false">ROUND(C68/1000000,0)*1000000-C67</f>
        <v>0</v>
      </c>
      <c r="D69" s="92" t="n">
        <f aca="false">ROUND(D68/1000000,0)*1000000-D67</f>
        <v>0</v>
      </c>
      <c r="E69" s="92" t="n">
        <f aca="false">ROUND(E68/1000000,0)*1000000-E67</f>
        <v>0</v>
      </c>
      <c r="F69" s="92" t="n">
        <f aca="false">ROUND(F68/1000000,0)*1000000-F67</f>
        <v>0</v>
      </c>
      <c r="G69" s="2"/>
      <c r="H69" s="2"/>
      <c r="I69" s="2"/>
      <c r="J69" s="2"/>
    </row>
    <row r="70" customFormat="false" ht="15" hidden="false" customHeight="false" outlineLevel="0" collapsed="false">
      <c r="A70" s="2"/>
      <c r="B70" s="19" t="s">
        <v>796</v>
      </c>
      <c r="C70" s="83" t="n">
        <v>1576000000</v>
      </c>
      <c r="D70" s="83" t="n">
        <v>5585000000</v>
      </c>
      <c r="E70" s="83" t="n">
        <v>7751000000</v>
      </c>
      <c r="F70" s="83" t="n">
        <v>10236000000</v>
      </c>
      <c r="G70" s="2"/>
      <c r="H70" s="2"/>
      <c r="I70" s="2"/>
      <c r="J70" s="2"/>
    </row>
    <row r="71" customFormat="false" ht="15" hidden="false" customHeight="false" outlineLevel="0" collapsed="false">
      <c r="A71" s="2"/>
      <c r="B71" s="19" t="s">
        <v>797</v>
      </c>
      <c r="C71" s="57" t="n">
        <f aca="false">C33</f>
        <v>1576117703.59821</v>
      </c>
      <c r="D71" s="57" t="n">
        <f aca="false">D33</f>
        <v>5585155467.61346</v>
      </c>
      <c r="E71" s="57" t="n">
        <f aca="false">E33</f>
        <v>7750605024.31378</v>
      </c>
      <c r="F71" s="57" t="n">
        <f aca="false">F33</f>
        <v>10236106302.1227</v>
      </c>
      <c r="G71" s="2"/>
      <c r="H71" s="2"/>
      <c r="I71" s="2"/>
      <c r="J71" s="2"/>
    </row>
    <row r="72" customFormat="false" ht="15" hidden="false" customHeight="false" outlineLevel="0" collapsed="false">
      <c r="A72" s="2"/>
      <c r="B72" s="46" t="s">
        <v>787</v>
      </c>
      <c r="C72" s="92" t="n">
        <f aca="false">ROUND(C71/1000000,0)*1000000-C70</f>
        <v>0</v>
      </c>
      <c r="D72" s="92" t="n">
        <f aca="false">ROUND(D71/1000000,0)*1000000-D70</f>
        <v>0</v>
      </c>
      <c r="E72" s="92" t="n">
        <f aca="false">ROUND(E71/1000000,0)*1000000-E70</f>
        <v>0</v>
      </c>
      <c r="F72" s="92" t="n">
        <f aca="false">ROUND(F71/1000000,0)*1000000-F70</f>
        <v>0</v>
      </c>
      <c r="G72" s="2"/>
      <c r="H72" s="2"/>
      <c r="I72" s="2"/>
      <c r="J72" s="2"/>
    </row>
    <row r="73" customFormat="false" ht="27" hidden="false" customHeight="true" outlineLevel="0" collapsed="false">
      <c r="A73" s="2"/>
      <c r="B73" s="14" t="s">
        <v>798</v>
      </c>
      <c r="C73" s="83" t="n">
        <v>0</v>
      </c>
      <c r="D73" s="83" t="n">
        <v>1238000000</v>
      </c>
      <c r="E73" s="83" t="n">
        <v>517000000</v>
      </c>
      <c r="F73" s="83" t="n">
        <v>0</v>
      </c>
      <c r="G73" s="2"/>
      <c r="H73" s="2"/>
      <c r="I73" s="2"/>
      <c r="J73" s="2"/>
    </row>
    <row r="74" customFormat="false" ht="15" hidden="false" customHeight="false" outlineLevel="0" collapsed="false">
      <c r="A74" s="2"/>
      <c r="B74" s="19" t="s">
        <v>799</v>
      </c>
      <c r="C74" s="57" t="n">
        <f aca="false">C71-C68</f>
        <v>0</v>
      </c>
      <c r="D74" s="57" t="n">
        <f aca="false">D71-D68</f>
        <v>1238255895.21313</v>
      </c>
      <c r="E74" s="57" t="n">
        <f aca="false">E71-E68</f>
        <v>517343311.319689</v>
      </c>
      <c r="F74" s="57" t="n">
        <f aca="false">F71-F68</f>
        <v>0</v>
      </c>
      <c r="G74" s="2"/>
      <c r="H74" s="2"/>
      <c r="I74" s="2"/>
      <c r="J74" s="2"/>
    </row>
    <row r="75" customFormat="false" ht="15" hidden="false" customHeight="false" outlineLevel="0" collapsed="false">
      <c r="A75" s="2"/>
      <c r="B75" s="46" t="s">
        <v>787</v>
      </c>
      <c r="C75" s="92" t="n">
        <f aca="false">ROUND(C74/1000000,0)*1000000-C73</f>
        <v>0</v>
      </c>
      <c r="D75" s="92" t="n">
        <f aca="false">ROUND(D74/1000000,0)*1000000-D73</f>
        <v>0</v>
      </c>
      <c r="E75" s="92" t="n">
        <f aca="false">ROUND(E74/1000000,0)*1000000-E73</f>
        <v>0</v>
      </c>
      <c r="F75" s="92" t="n">
        <f aca="false">ROUND(F74/1000000,0)*1000000-F73</f>
        <v>0</v>
      </c>
      <c r="G75" s="2"/>
      <c r="H75" s="2"/>
      <c r="I75" s="2"/>
      <c r="J75" s="2"/>
    </row>
    <row r="76" customFormat="false" ht="15" hidden="false" customHeight="false" outlineLevel="0" collapsed="false">
      <c r="A76" s="2"/>
      <c r="B76" s="2"/>
      <c r="C76" s="2"/>
      <c r="D76" s="2"/>
      <c r="E76" s="2"/>
      <c r="F76" s="2"/>
      <c r="G76" s="2"/>
      <c r="H76" s="2"/>
      <c r="I76" s="2"/>
      <c r="J76" s="2"/>
    </row>
    <row r="77" customFormat="false" ht="54.75" hidden="false" customHeight="true" outlineLevel="0" collapsed="false">
      <c r="A77" s="2"/>
      <c r="B77" s="22" t="s">
        <v>800</v>
      </c>
      <c r="C77" s="2"/>
      <c r="D77" s="2"/>
      <c r="E77" s="2"/>
      <c r="F77" s="2"/>
      <c r="G77" s="2"/>
      <c r="H77" s="2"/>
      <c r="I77" s="2"/>
      <c r="J77" s="2"/>
    </row>
    <row r="78" customFormat="false" ht="54.75" hidden="false" customHeight="true" outlineLevel="0" collapsed="false">
      <c r="A78" s="2"/>
      <c r="B78" s="22" t="s">
        <v>801</v>
      </c>
      <c r="C78" s="2"/>
      <c r="D78" s="2"/>
      <c r="E78" s="2"/>
      <c r="F78" s="2"/>
      <c r="G78" s="2"/>
      <c r="H78" s="2"/>
      <c r="I78" s="2"/>
      <c r="J78" s="2"/>
    </row>
    <row r="79" customFormat="false" ht="15" hidden="false" customHeight="false" outlineLevel="0" collapsed="false">
      <c r="A79" s="2"/>
      <c r="B79" s="2"/>
      <c r="C79" s="2"/>
      <c r="D79" s="2"/>
      <c r="E79" s="2"/>
      <c r="F79" s="2"/>
      <c r="G79" s="2"/>
      <c r="H79" s="2"/>
      <c r="I79" s="2"/>
      <c r="J79" s="2"/>
    </row>
    <row r="80" customFormat="false" ht="15" hidden="false" customHeight="false" outlineLevel="0" collapsed="false">
      <c r="A80" s="2"/>
      <c r="B80" s="2"/>
      <c r="C80" s="2"/>
      <c r="D80" s="2"/>
      <c r="E80" s="2"/>
      <c r="F80" s="2"/>
      <c r="G80" s="2"/>
      <c r="H80" s="2"/>
      <c r="I80" s="2"/>
      <c r="J80" s="2"/>
    </row>
    <row r="81" customFormat="false" ht="15" hidden="false" customHeight="false" outlineLevel="0" collapsed="false">
      <c r="A81" s="2"/>
      <c r="B81" s="2"/>
      <c r="C81" s="2"/>
      <c r="D81" s="2"/>
      <c r="E81" s="2"/>
      <c r="F81" s="2"/>
      <c r="G81" s="2"/>
      <c r="H81" s="2"/>
      <c r="I81" s="2"/>
      <c r="J81" s="2"/>
    </row>
    <row r="82" customFormat="false" ht="15" hidden="false" customHeight="false" outlineLevel="0" collapsed="false">
      <c r="A82" s="2"/>
      <c r="B82" s="2"/>
      <c r="C82" s="2"/>
      <c r="D82" s="2"/>
      <c r="E82" s="2"/>
      <c r="F82" s="2"/>
      <c r="G82" s="2"/>
      <c r="H82" s="2"/>
      <c r="I82" s="2"/>
      <c r="J82" s="2"/>
    </row>
    <row r="83" customFormat="false" ht="15" hidden="false" customHeight="false" outlineLevel="0" collapsed="false">
      <c r="A83" s="2"/>
      <c r="B83" s="2"/>
      <c r="C83" s="2"/>
      <c r="D83" s="2"/>
      <c r="E83" s="2"/>
      <c r="F83" s="2"/>
      <c r="G83" s="2"/>
      <c r="H83" s="2"/>
      <c r="I83" s="2"/>
      <c r="J83" s="2"/>
    </row>
    <row r="84" customFormat="false" ht="15" hidden="false" customHeight="false" outlineLevel="0" collapsed="false">
      <c r="A84" s="2"/>
      <c r="B84" s="2"/>
      <c r="C84" s="2"/>
      <c r="D84" s="2"/>
      <c r="E84" s="2"/>
      <c r="F84" s="2"/>
      <c r="G84" s="2"/>
      <c r="H84" s="2"/>
      <c r="I84" s="2"/>
      <c r="J84" s="2"/>
    </row>
    <row r="85" customFormat="false" ht="15" hidden="false" customHeight="false" outlineLevel="0" collapsed="false">
      <c r="A85" s="2"/>
      <c r="B85" s="2"/>
      <c r="C85" s="2"/>
      <c r="D85" s="2"/>
      <c r="E85" s="2"/>
      <c r="F85" s="2"/>
      <c r="G85" s="2"/>
      <c r="H85" s="2"/>
      <c r="I85" s="2"/>
      <c r="J85" s="2"/>
    </row>
    <row r="86" customFormat="false" ht="15" hidden="false" customHeight="false" outlineLevel="0" collapsed="false">
      <c r="A86" s="2"/>
      <c r="B86" s="2"/>
      <c r="C86" s="2"/>
      <c r="D86" s="2"/>
      <c r="E86" s="2"/>
      <c r="F86" s="2"/>
      <c r="G86" s="2"/>
      <c r="H86" s="2"/>
      <c r="I86" s="2"/>
      <c r="J86" s="2"/>
    </row>
    <row r="87" customFormat="false" ht="15" hidden="false" customHeight="false" outlineLevel="0" collapsed="false">
      <c r="A87" s="2"/>
      <c r="B87" s="2"/>
      <c r="C87" s="2"/>
      <c r="D87" s="2"/>
      <c r="E87" s="2"/>
      <c r="F87" s="2"/>
      <c r="G87" s="2"/>
      <c r="H87" s="2"/>
      <c r="I87" s="2"/>
      <c r="J87" s="2"/>
    </row>
    <row r="88" customFormat="false" ht="15" hidden="false" customHeight="false" outlineLevel="0" collapsed="false">
      <c r="A88" s="2"/>
      <c r="B88" s="2"/>
      <c r="C88" s="2"/>
      <c r="D88" s="2"/>
      <c r="E88" s="2"/>
      <c r="F88" s="2"/>
      <c r="G88" s="2"/>
      <c r="H88" s="2"/>
      <c r="I88" s="2"/>
      <c r="J88" s="2"/>
    </row>
    <row r="89" customFormat="false" ht="15" hidden="false" customHeight="false" outlineLevel="0" collapsed="false">
      <c r="A89" s="2"/>
      <c r="B89" s="2"/>
      <c r="C89" s="2"/>
      <c r="D89" s="2"/>
      <c r="E89" s="2"/>
      <c r="F89" s="2"/>
      <c r="G89" s="2"/>
      <c r="H89" s="2"/>
      <c r="I89" s="2"/>
      <c r="J89"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48"/>
    <col collapsed="false" customWidth="true" hidden="false" outlineLevel="0" max="5" min="3" style="1" width="15"/>
    <col collapsed="false" customWidth="true" hidden="false" outlineLevel="0" max="6" min="6" style="1" width="60"/>
    <col collapsed="false" customWidth="true" hidden="false" outlineLevel="0" max="10" min="7" style="0" width="15"/>
  </cols>
  <sheetData>
    <row r="1" customFormat="false" ht="15" hidden="false" customHeight="false" outlineLevel="0" collapsed="false">
      <c r="A1" s="2"/>
      <c r="B1" s="2"/>
      <c r="C1" s="2"/>
      <c r="D1" s="2"/>
      <c r="E1" s="2"/>
      <c r="F1" s="2"/>
    </row>
    <row r="2" customFormat="false" ht="21" hidden="false" customHeight="true" outlineLevel="0" collapsed="false">
      <c r="A2" s="2"/>
      <c r="B2" s="93" t="s">
        <v>802</v>
      </c>
      <c r="C2" s="93"/>
      <c r="D2" s="93"/>
      <c r="E2" s="93"/>
      <c r="F2" s="93"/>
      <c r="G2" s="93"/>
      <c r="H2" s="93"/>
      <c r="I2" s="93"/>
      <c r="J2" s="93"/>
    </row>
    <row r="3" customFormat="false" ht="15.75" hidden="false" customHeight="true" outlineLevel="0" collapsed="false">
      <c r="A3" s="2"/>
      <c r="B3" s="17" t="s">
        <v>803</v>
      </c>
      <c r="C3" s="17"/>
      <c r="D3" s="17"/>
      <c r="E3" s="17"/>
      <c r="F3" s="17"/>
      <c r="G3" s="17"/>
      <c r="H3" s="17"/>
      <c r="I3" s="17"/>
      <c r="J3" s="17"/>
    </row>
    <row r="4" customFormat="false" ht="15" hidden="false" customHeight="false" outlineLevel="0" collapsed="false">
      <c r="A4" s="2"/>
      <c r="B4" s="2"/>
      <c r="C4" s="2"/>
      <c r="D4" s="2"/>
      <c r="E4" s="2"/>
      <c r="F4" s="2"/>
    </row>
    <row r="5" customFormat="false" ht="15" hidden="false" customHeight="true" outlineLevel="0" collapsed="false">
      <c r="A5" s="2"/>
      <c r="B5" s="50" t="s">
        <v>804</v>
      </c>
      <c r="C5" s="50" t="s">
        <v>542</v>
      </c>
      <c r="D5" s="50" t="s">
        <v>543</v>
      </c>
      <c r="E5" s="50" t="s">
        <v>544</v>
      </c>
      <c r="F5" s="50" t="s">
        <v>545</v>
      </c>
      <c r="G5" s="50" t="s">
        <v>546</v>
      </c>
      <c r="H5" s="50" t="s">
        <v>547</v>
      </c>
      <c r="I5" s="50" t="s">
        <v>548</v>
      </c>
      <c r="J5" s="50" t="s">
        <v>549</v>
      </c>
    </row>
    <row r="6" customFormat="false" ht="30" hidden="false" customHeight="true" outlineLevel="0" collapsed="false">
      <c r="A6" s="2"/>
      <c r="B6" s="46" t="s">
        <v>805</v>
      </c>
      <c r="C6" s="94" t="n">
        <f aca="false">'Resumen anual'!C33-('Resumen anual'!C9-'Resumen anual'!C53)</f>
        <v>1576117703.59821</v>
      </c>
      <c r="D6" s="94" t="n">
        <f aca="false">'Resumen anual'!D33-('Resumen anual'!D9-'Resumen anual'!D53)</f>
        <v>4346899572.40034</v>
      </c>
      <c r="E6" s="94" t="n">
        <f aca="false">'Resumen anual'!E33-('Resumen anual'!E9-'Resumen anual'!E53)</f>
        <v>7233261712.99409</v>
      </c>
      <c r="F6" s="95" t="n">
        <f aca="false">'Resumen anual'!F33-('Resumen anual'!F9-'Resumen anual'!F53)</f>
        <v>10236106302.1227</v>
      </c>
      <c r="G6" s="94" t="n">
        <f aca="false">'Resumen anual'!G33-('Resumen anual'!G9-'Resumen anual'!G53)</f>
        <v>13356382790.9586</v>
      </c>
      <c r="H6" s="94" t="n">
        <f aca="false">'Resumen anual'!H33-('Resumen anual'!H9-'Resumen anual'!H53)</f>
        <v>16595088175.1385</v>
      </c>
      <c r="I6" s="94" t="n">
        <f aca="false">'Resumen anual'!I33-('Resumen anual'!I9-'Resumen anual'!I53)</f>
        <v>19953267284.378</v>
      </c>
      <c r="J6" s="94" t="n">
        <f aca="false">'Resumen anual'!J33-('Resumen anual'!J9-'Resumen anual'!J53)</f>
        <v>23432013091.7327</v>
      </c>
    </row>
    <row r="7" customFormat="false" ht="27" hidden="false" customHeight="true" outlineLevel="0" collapsed="false">
      <c r="A7" s="2"/>
      <c r="B7" s="71" t="s">
        <v>806</v>
      </c>
      <c r="C7" s="94" t="n">
        <f aca="false">'Resumen anual'!C33</f>
        <v>1576117703.59821</v>
      </c>
      <c r="D7" s="94" t="n">
        <f aca="false">'Resumen anual'!D33</f>
        <v>5585155467.61346</v>
      </c>
      <c r="E7" s="94" t="n">
        <f aca="false">'Resumen anual'!E33</f>
        <v>7750605024.31378</v>
      </c>
      <c r="F7" s="95" t="n">
        <f aca="false">'Resumen anual'!F33</f>
        <v>10236106302.1227</v>
      </c>
      <c r="G7" s="94" t="n">
        <f aca="false">'Resumen anual'!G33</f>
        <v>13356382790.9586</v>
      </c>
      <c r="H7" s="94" t="n">
        <f aca="false">'Resumen anual'!H33</f>
        <v>16595088175.1385</v>
      </c>
      <c r="I7" s="94" t="n">
        <f aca="false">'Resumen anual'!I33</f>
        <v>19953267284.378</v>
      </c>
      <c r="J7" s="94" t="n">
        <f aca="false">'Resumen anual'!J33</f>
        <v>23432013091.7327</v>
      </c>
    </row>
    <row r="8" customFormat="false" ht="30" hidden="false" customHeight="true" outlineLevel="0" collapsed="false">
      <c r="A8" s="2"/>
      <c r="B8" s="19" t="s">
        <v>787</v>
      </c>
      <c r="C8" s="96" t="n">
        <f aca="false">C7-C6</f>
        <v>0</v>
      </c>
      <c r="D8" s="96" t="n">
        <f aca="false">D7-D6</f>
        <v>1238255895.21313</v>
      </c>
      <c r="E8" s="96" t="n">
        <f aca="false">E7-E6</f>
        <v>517343311.319689</v>
      </c>
      <c r="F8" s="97" t="n">
        <f aca="false">F7-F6</f>
        <v>0</v>
      </c>
      <c r="G8" s="96" t="n">
        <f aca="false">G7-G6</f>
        <v>0</v>
      </c>
      <c r="H8" s="96" t="n">
        <f aca="false">H7-H6</f>
        <v>0</v>
      </c>
      <c r="I8" s="96" t="n">
        <f aca="false">I7-I6</f>
        <v>0</v>
      </c>
      <c r="J8" s="96" t="n">
        <f aca="false">J7-J6</f>
        <v>0</v>
      </c>
    </row>
    <row r="9" customFormat="false" ht="30" hidden="false" customHeight="true" outlineLevel="0" collapsed="false">
      <c r="A9" s="2"/>
      <c r="B9" s="19" t="s">
        <v>807</v>
      </c>
      <c r="C9" s="96" t="n">
        <f aca="false">MAX(0,Supuestos!$C$138*Recursos!C18-Supuestos!$C$143*1/4)</f>
        <v>0</v>
      </c>
      <c r="D9" s="96" t="n">
        <f aca="false">MAX(0,Supuestos!$C$139*Recursos!O18-Supuestos!$C$143*2/4)</f>
        <v>1202601687.21312</v>
      </c>
      <c r="E9" s="96" t="n">
        <f aca="false">MAX(0,Supuestos!$C$140*Recursos!AA18-Supuestos!$C$143*3/4)</f>
        <v>480499925.319687</v>
      </c>
      <c r="F9" s="97" t="n">
        <f aca="false">MAX(0,Supuestos!$C$141*Recursos!AM18-Supuestos!$C$143*4/4)</f>
        <v>0</v>
      </c>
      <c r="G9" s="96" t="n">
        <f aca="false">MAX(0,Supuestos!$C$141*Recursos!AY18-Supuestos!$C$143*4/4)</f>
        <v>0</v>
      </c>
      <c r="H9" s="96" t="n">
        <f aca="false">MAX(0,Supuestos!$C$141*Recursos!BK18-Supuestos!$C$143*4/4)</f>
        <v>0</v>
      </c>
      <c r="I9" s="96" t="n">
        <f aca="false">MAX(0,Supuestos!$C$141*Recursos!BW18-Supuestos!$C$143*4/4)</f>
        <v>0</v>
      </c>
      <c r="J9" s="96" t="n">
        <f aca="false">MAX(0,Supuestos!$C$141*Recursos!CI18-Supuestos!$C$143*4/4)</f>
        <v>0</v>
      </c>
    </row>
    <row r="10" customFormat="false" ht="24.75" hidden="false" customHeight="true" outlineLevel="0" collapsed="false">
      <c r="A10" s="2"/>
      <c r="B10" s="48" t="s">
        <v>808</v>
      </c>
      <c r="C10" s="48"/>
      <c r="D10" s="48"/>
      <c r="E10" s="48"/>
      <c r="F10" s="48"/>
      <c r="G10" s="48"/>
      <c r="H10" s="48"/>
      <c r="I10" s="48"/>
      <c r="J10" s="48"/>
    </row>
    <row r="11" customFormat="false" ht="15" hidden="false" customHeight="true" outlineLevel="0" collapsed="false">
      <c r="A11" s="2"/>
      <c r="B11" s="9"/>
      <c r="C11" s="9"/>
      <c r="D11" s="9"/>
      <c r="E11" s="9"/>
      <c r="F11" s="9"/>
    </row>
    <row r="12" customFormat="false" ht="15.75" hidden="false" customHeight="true" outlineLevel="0" collapsed="false">
      <c r="A12" s="2"/>
      <c r="B12" s="98" t="s">
        <v>809</v>
      </c>
      <c r="C12" s="98"/>
      <c r="D12" s="98"/>
      <c r="E12" s="98"/>
      <c r="F12" s="98"/>
      <c r="G12" s="98"/>
      <c r="H12" s="98"/>
      <c r="I12" s="98"/>
      <c r="J12" s="98"/>
    </row>
    <row r="13" customFormat="false" ht="15" hidden="false" customHeight="true" outlineLevel="0" collapsed="false">
      <c r="A13" s="2"/>
      <c r="B13" s="50" t="s">
        <v>810</v>
      </c>
      <c r="C13" s="50" t="s">
        <v>811</v>
      </c>
      <c r="D13" s="50" t="s">
        <v>812</v>
      </c>
      <c r="E13" s="50" t="s">
        <v>813</v>
      </c>
      <c r="F13" s="50" t="s">
        <v>814</v>
      </c>
    </row>
    <row r="14" customFormat="false" ht="15" hidden="false" customHeight="true" outlineLevel="0" collapsed="false">
      <c r="A14" s="2"/>
      <c r="B14" s="46" t="s">
        <v>815</v>
      </c>
      <c r="C14" s="35" t="n">
        <v>0.0095</v>
      </c>
      <c r="D14" s="57" t="n">
        <f aca="false">$F$6+Supuestos!$C$114*((1+C14)^6-(1+Supuestos!$C$31)^6)</f>
        <v>-3043501163.89794</v>
      </c>
      <c r="E14" s="57" t="n">
        <f aca="false">D14-$F$6</f>
        <v>-13279607466.0206</v>
      </c>
      <c r="F14" s="22" t="s">
        <v>816</v>
      </c>
    </row>
    <row r="15" customFormat="false" ht="15" hidden="false" customHeight="true" outlineLevel="0" collapsed="false">
      <c r="A15" s="2"/>
      <c r="B15" s="19"/>
      <c r="C15" s="88" t="n">
        <f aca="false">Supuestos!C31</f>
        <v>0.0195</v>
      </c>
      <c r="D15" s="57" t="n">
        <f aca="false">$F$6</f>
        <v>10236106302.1227</v>
      </c>
      <c r="E15" s="57" t="n">
        <f aca="false">D15-$F$6</f>
        <v>0</v>
      </c>
      <c r="F15" s="22" t="s">
        <v>817</v>
      </c>
    </row>
    <row r="16" customFormat="false" ht="15" hidden="false" customHeight="false" outlineLevel="0" collapsed="false">
      <c r="A16" s="2"/>
      <c r="B16" s="19"/>
      <c r="C16" s="35" t="n">
        <v>0.0295</v>
      </c>
      <c r="D16" s="57" t="n">
        <f aca="false">$F$6+Supuestos!$C$114*((1+C16)^6-(1+Supuestos!$C$31)^6)</f>
        <v>24183212623.2616</v>
      </c>
      <c r="E16" s="57" t="n">
        <f aca="false">D16-$F$6</f>
        <v>13947106321.1389</v>
      </c>
      <c r="F16" s="2"/>
    </row>
    <row r="17" customFormat="false" ht="15" hidden="false" customHeight="true" outlineLevel="0" collapsed="false">
      <c r="A17" s="2"/>
      <c r="B17" s="46" t="s">
        <v>818</v>
      </c>
      <c r="C17" s="35" t="n">
        <v>-0.015</v>
      </c>
      <c r="D17" s="57" t="n">
        <f aca="false">$F$6+Supuestos!$C$115*Supuestos!$C$118*((1+C17)^6-(1+Supuestos!$C$32)^6)</f>
        <v>12985083937.4048</v>
      </c>
      <c r="E17" s="57" t="n">
        <f aca="false">D17-$F$6</f>
        <v>2748977635.28212</v>
      </c>
      <c r="F17" s="22" t="s">
        <v>819</v>
      </c>
    </row>
    <row r="18" customFormat="false" ht="15" hidden="false" customHeight="true" outlineLevel="0" collapsed="false">
      <c r="A18" s="2"/>
      <c r="B18" s="19"/>
      <c r="C18" s="35" t="n">
        <v>-0.025</v>
      </c>
      <c r="D18" s="57" t="n">
        <f aca="false">$F$6+Supuestos!$C$115*Supuestos!$C$118*((1+C18)^6-(1+Supuestos!$C$32)^6)</f>
        <v>9065715755.38659</v>
      </c>
      <c r="E18" s="57" t="n">
        <f aca="false">D18-$F$6</f>
        <v>-1170390546.73609</v>
      </c>
      <c r="F18" s="2"/>
    </row>
    <row r="19" customFormat="false" ht="15" hidden="false" customHeight="true" outlineLevel="0" collapsed="false">
      <c r="A19" s="2"/>
      <c r="B19" s="19"/>
      <c r="C19" s="35" t="n">
        <v>-0.035</v>
      </c>
      <c r="D19" s="57" t="n">
        <f aca="false">$F$6+Supuestos!$C$115*Supuestos!$C$118*((1+C19)^6-(1+Supuestos!$C$32)^6)</f>
        <v>5342269098.22583</v>
      </c>
      <c r="E19" s="57" t="n">
        <f aca="false">D19-$F$6</f>
        <v>-4893837203.89685</v>
      </c>
      <c r="F19" s="22" t="s">
        <v>820</v>
      </c>
    </row>
    <row r="20" customFormat="false" ht="15" hidden="false" customHeight="true" outlineLevel="0" collapsed="false">
      <c r="A20" s="2"/>
      <c r="B20" s="46" t="s">
        <v>821</v>
      </c>
      <c r="C20" s="35" t="n">
        <v>0.8632</v>
      </c>
      <c r="D20" s="57" t="n">
        <f aca="false">$F$6+('Resumen anual'!$F$12-'Resumen anual'!$F$9)*(C20/Supuestos!$C$34-1)</f>
        <v>-425845180.819105</v>
      </c>
      <c r="E20" s="57" t="n">
        <f aca="false">D20-$F$6</f>
        <v>-10661951482.9418</v>
      </c>
      <c r="F20" s="22" t="s">
        <v>822</v>
      </c>
    </row>
    <row r="21" customFormat="false" ht="15" hidden="false" customHeight="true" outlineLevel="0" collapsed="false">
      <c r="A21" s="2"/>
      <c r="B21" s="19"/>
      <c r="C21" s="88" t="n">
        <f aca="false">Supuestos!C34</f>
        <v>0.8932</v>
      </c>
      <c r="D21" s="57" t="n">
        <f aca="false">$F$6</f>
        <v>10236106302.1227</v>
      </c>
      <c r="E21" s="57" t="n">
        <f aca="false">D21-$F$6</f>
        <v>0</v>
      </c>
      <c r="F21" s="22" t="s">
        <v>823</v>
      </c>
    </row>
    <row r="22" customFormat="false" ht="15" hidden="false" customHeight="false" outlineLevel="0" collapsed="false">
      <c r="A22" s="2"/>
      <c r="B22" s="19"/>
      <c r="C22" s="35" t="n">
        <v>0.9232</v>
      </c>
      <c r="D22" s="57" t="n">
        <f aca="false">$F$6+('Resumen anual'!$F$12-'Resumen anual'!$F$9)*(C22/Supuestos!$C$34-1)</f>
        <v>20898057785.0644</v>
      </c>
      <c r="E22" s="57" t="n">
        <f aca="false">D22-$F$6</f>
        <v>10661951482.9418</v>
      </c>
      <c r="F22" s="2"/>
    </row>
    <row r="23" customFormat="false" ht="15" hidden="false" customHeight="false" outlineLevel="0" collapsed="false">
      <c r="A23" s="2"/>
      <c r="B23" s="2"/>
      <c r="C23" s="2"/>
      <c r="D23" s="2"/>
      <c r="E23" s="2"/>
      <c r="F23" s="2"/>
    </row>
    <row r="24" customFormat="false" ht="15" hidden="false" customHeight="true" outlineLevel="0" collapsed="false">
      <c r="A24" s="2"/>
      <c r="B24" s="48" t="s">
        <v>824</v>
      </c>
      <c r="C24" s="48"/>
      <c r="D24" s="48"/>
      <c r="E24" s="48"/>
      <c r="F24" s="48"/>
      <c r="G24" s="48"/>
      <c r="H24" s="48"/>
      <c r="I24" s="48"/>
      <c r="J24" s="48"/>
    </row>
    <row r="25" customFormat="false" ht="15" hidden="false" customHeight="true" outlineLevel="0" collapsed="false">
      <c r="A25" s="2"/>
      <c r="B25" s="48" t="s">
        <v>825</v>
      </c>
      <c r="C25" s="48"/>
      <c r="D25" s="48"/>
      <c r="E25" s="48"/>
      <c r="F25" s="48"/>
      <c r="G25" s="48"/>
      <c r="H25" s="48"/>
      <c r="I25" s="48"/>
      <c r="J25" s="48"/>
    </row>
    <row r="26" customFormat="false" ht="15" hidden="false" customHeight="false" outlineLevel="0" collapsed="false">
      <c r="A26" s="2"/>
      <c r="B26" s="2"/>
      <c r="C26" s="2"/>
      <c r="D26" s="2"/>
      <c r="E26" s="2"/>
      <c r="F26" s="2"/>
    </row>
    <row r="27" customFormat="false" ht="15" hidden="false" customHeight="false" outlineLevel="0" collapsed="false">
      <c r="A27" s="2"/>
      <c r="B27" s="2"/>
      <c r="C27" s="2"/>
      <c r="D27" s="2"/>
      <c r="E27" s="2"/>
      <c r="F27" s="2"/>
    </row>
    <row r="28" customFormat="false" ht="15" hidden="false" customHeight="false" outlineLevel="0" collapsed="false">
      <c r="A28" s="2"/>
      <c r="B28" s="2"/>
      <c r="C28" s="2"/>
      <c r="D28" s="2"/>
      <c r="E28" s="2"/>
      <c r="F28" s="2"/>
    </row>
    <row r="29" customFormat="false" ht="15" hidden="false" customHeight="false" outlineLevel="0" collapsed="false">
      <c r="A29" s="2"/>
      <c r="B29" s="2"/>
      <c r="C29" s="2"/>
      <c r="D29" s="2"/>
      <c r="E29" s="2"/>
      <c r="F29" s="2"/>
    </row>
    <row r="30" customFormat="false" ht="15" hidden="false" customHeight="false" outlineLevel="0" collapsed="false">
      <c r="A30" s="2"/>
      <c r="B30" s="2"/>
      <c r="C30" s="2"/>
      <c r="D30" s="2"/>
      <c r="E30" s="2"/>
      <c r="F30" s="2"/>
    </row>
    <row r="31" customFormat="false" ht="15" hidden="false" customHeight="false" outlineLevel="0" collapsed="false">
      <c r="A31" s="2"/>
      <c r="B31" s="2"/>
      <c r="C31" s="2"/>
      <c r="D31" s="2"/>
      <c r="E31" s="2"/>
      <c r="F31" s="2"/>
    </row>
    <row r="32" customFormat="false" ht="15" hidden="false" customHeight="false" outlineLevel="0" collapsed="false">
      <c r="A32" s="2"/>
      <c r="B32" s="2"/>
      <c r="C32" s="2"/>
      <c r="D32" s="2"/>
      <c r="E32" s="2"/>
      <c r="F32" s="2"/>
    </row>
    <row r="33" customFormat="false" ht="15" hidden="false" customHeight="false" outlineLevel="0" collapsed="false">
      <c r="A33" s="2"/>
      <c r="B33" s="2"/>
      <c r="C33" s="2"/>
      <c r="D33" s="2"/>
      <c r="E33" s="2"/>
      <c r="F33" s="2"/>
    </row>
    <row r="34" customFormat="false" ht="15" hidden="false" customHeight="false" outlineLevel="0" collapsed="false">
      <c r="A34" s="2"/>
      <c r="B34" s="2"/>
      <c r="C34" s="2"/>
      <c r="D34" s="2"/>
      <c r="E34" s="2"/>
      <c r="F34" s="2"/>
    </row>
    <row r="35" customFormat="false" ht="15" hidden="false" customHeight="false" outlineLevel="0" collapsed="false">
      <c r="A35" s="2"/>
      <c r="B35" s="2"/>
      <c r="C35" s="2"/>
      <c r="D35" s="2"/>
      <c r="E35" s="2"/>
      <c r="F35" s="2"/>
    </row>
    <row r="36" customFormat="false" ht="15" hidden="false" customHeight="false" outlineLevel="0" collapsed="false">
      <c r="A36" s="2"/>
      <c r="B36" s="2"/>
      <c r="C36" s="2"/>
      <c r="D36" s="2"/>
      <c r="E36" s="2"/>
      <c r="F36" s="2"/>
    </row>
    <row r="37" customFormat="false" ht="15" hidden="false" customHeight="false" outlineLevel="0" collapsed="false">
      <c r="A37" s="2"/>
      <c r="B37" s="2"/>
      <c r="C37" s="2"/>
      <c r="D37" s="2"/>
      <c r="E37" s="2"/>
      <c r="F37" s="2"/>
    </row>
    <row r="38" customFormat="false" ht="15" hidden="false" customHeight="false" outlineLevel="0" collapsed="false">
      <c r="A38" s="2"/>
      <c r="B38" s="2"/>
      <c r="C38" s="2"/>
      <c r="D38" s="2"/>
      <c r="E38" s="2"/>
      <c r="F38" s="2"/>
    </row>
    <row r="39" customFormat="false" ht="15" hidden="false" customHeight="false" outlineLevel="0" collapsed="false">
      <c r="A39" s="2"/>
      <c r="B39" s="2"/>
      <c r="C39" s="2"/>
      <c r="D39" s="2"/>
      <c r="E39" s="2"/>
      <c r="F39" s="2"/>
    </row>
  </sheetData>
  <mergeCells count="6">
    <mergeCell ref="B2:J2"/>
    <mergeCell ref="B3:J3"/>
    <mergeCell ref="B10:J10"/>
    <mergeCell ref="B12:J12"/>
    <mergeCell ref="B24:J24"/>
    <mergeCell ref="B25:J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7057"/>
    <pageSetUpPr fitToPage="false"/>
  </sheetPr>
  <dimension ref="A1:F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60"/>
    <col collapsed="false" customWidth="true" hidden="false" outlineLevel="0" max="5" min="3" style="1" width="26"/>
    <col collapsed="false" customWidth="true" hidden="false" outlineLevel="0" max="6" min="6" style="1" width="42"/>
  </cols>
  <sheetData>
    <row r="1" customFormat="false" ht="15" hidden="false" customHeight="false" outlineLevel="0" collapsed="false">
      <c r="A1" s="2"/>
      <c r="B1" s="2"/>
      <c r="C1" s="2"/>
      <c r="D1" s="2"/>
      <c r="E1" s="2"/>
      <c r="F1" s="2"/>
    </row>
    <row r="2" customFormat="false" ht="15.75" hidden="false" customHeight="true" outlineLevel="0" collapsed="false">
      <c r="A2" s="2"/>
      <c r="B2" s="16" t="s">
        <v>826</v>
      </c>
      <c r="C2" s="2"/>
      <c r="D2" s="2"/>
      <c r="E2" s="2"/>
      <c r="F2" s="2"/>
    </row>
    <row r="3" customFormat="false" ht="15.75" hidden="false" customHeight="true" outlineLevel="0" collapsed="false">
      <c r="A3" s="2"/>
      <c r="B3" s="17" t="s">
        <v>827</v>
      </c>
      <c r="C3" s="17"/>
      <c r="D3" s="17"/>
      <c r="E3" s="17"/>
      <c r="F3" s="17"/>
    </row>
    <row r="4" customFormat="false" ht="15" hidden="false" customHeight="false" outlineLevel="0" collapsed="false">
      <c r="A4" s="2"/>
      <c r="B4" s="2"/>
      <c r="C4" s="2"/>
      <c r="D4" s="2"/>
      <c r="E4" s="2"/>
      <c r="F4" s="2"/>
    </row>
    <row r="5" customFormat="false" ht="15" hidden="false" customHeight="true" outlineLevel="0" collapsed="false">
      <c r="A5" s="2"/>
      <c r="B5" s="72" t="s">
        <v>828</v>
      </c>
      <c r="C5" s="72" t="s">
        <v>829</v>
      </c>
      <c r="D5" s="72" t="s">
        <v>830</v>
      </c>
      <c r="E5" s="72" t="s">
        <v>831</v>
      </c>
      <c r="F5" s="72" t="s">
        <v>832</v>
      </c>
    </row>
    <row r="6" customFormat="false" ht="27" hidden="false" customHeight="true" outlineLevel="0" collapsed="false">
      <c r="A6" s="2"/>
      <c r="B6" s="14" t="s">
        <v>833</v>
      </c>
      <c r="C6" s="14" t="s">
        <v>834</v>
      </c>
      <c r="D6" s="99" t="s">
        <v>835</v>
      </c>
      <c r="E6" s="99" t="s">
        <v>836</v>
      </c>
      <c r="F6" s="22" t="s">
        <v>837</v>
      </c>
    </row>
    <row r="7" customFormat="false" ht="15.75" hidden="false" customHeight="true" outlineLevel="0" collapsed="false">
      <c r="A7" s="2"/>
      <c r="B7" s="14" t="s">
        <v>838</v>
      </c>
      <c r="C7" s="14" t="s">
        <v>839</v>
      </c>
      <c r="D7" s="100" t="n">
        <f aca="false">'Resumen anual'!F52</f>
        <v>7730895749.51375</v>
      </c>
      <c r="E7" s="100" t="n">
        <f aca="false">'Resumen anual'!J52</f>
        <v>7730895749.51375</v>
      </c>
      <c r="F7" s="22" t="s">
        <v>840</v>
      </c>
    </row>
    <row r="8" customFormat="false" ht="15.75" hidden="false" customHeight="true" outlineLevel="0" collapsed="false">
      <c r="A8" s="2"/>
      <c r="B8" s="14" t="s">
        <v>841</v>
      </c>
      <c r="C8" s="14" t="s">
        <v>842</v>
      </c>
      <c r="D8" s="101" t="n">
        <f aca="false">SUM('Gastos función'!AM23:AX23)/Supuestos!$C$127</f>
        <v>0.0150002112893749</v>
      </c>
      <c r="E8" s="101" t="n">
        <f aca="false">SUM('Gastos función'!CI23:CT23)/Supuestos!$C$127</f>
        <v>0.0150002112893749</v>
      </c>
      <c r="F8" s="22" t="s">
        <v>843</v>
      </c>
    </row>
    <row r="9" customFormat="false" ht="15.75" hidden="false" customHeight="true" outlineLevel="0" collapsed="false">
      <c r="A9" s="2"/>
      <c r="B9" s="14" t="s">
        <v>844</v>
      </c>
      <c r="C9" s="14" t="s">
        <v>845</v>
      </c>
      <c r="D9" s="101" t="n">
        <f aca="false">'Resumen anual'!F47</f>
        <v>0.5</v>
      </c>
      <c r="E9" s="101" t="n">
        <f aca="false">'Resumen anual'!J47</f>
        <v>0.5</v>
      </c>
      <c r="F9" s="22" t="s">
        <v>846</v>
      </c>
    </row>
    <row r="10" customFormat="false" ht="38.25" hidden="false" customHeight="true" outlineLevel="0" collapsed="false">
      <c r="A10" s="2"/>
      <c r="B10" s="14" t="s">
        <v>847</v>
      </c>
      <c r="C10" s="14" t="s">
        <v>848</v>
      </c>
      <c r="D10" s="99" t="s">
        <v>849</v>
      </c>
      <c r="E10" s="99" t="s">
        <v>849</v>
      </c>
      <c r="F10" s="22" t="s">
        <v>850</v>
      </c>
    </row>
    <row r="11" customFormat="false" ht="38.25" hidden="false" customHeight="true" outlineLevel="0" collapsed="false">
      <c r="A11" s="2"/>
      <c r="B11" s="14" t="s">
        <v>851</v>
      </c>
      <c r="C11" s="14" t="s">
        <v>852</v>
      </c>
      <c r="D11" s="99" t="s">
        <v>849</v>
      </c>
      <c r="E11" s="99" t="s">
        <v>849</v>
      </c>
      <c r="F11" s="22" t="s">
        <v>853</v>
      </c>
    </row>
    <row r="12" customFormat="false" ht="60.75" hidden="false" customHeight="true" outlineLevel="0" collapsed="false">
      <c r="A12" s="2"/>
      <c r="B12" s="14" t="s">
        <v>854</v>
      </c>
      <c r="C12" s="14" t="s">
        <v>855</v>
      </c>
      <c r="D12" s="99" t="s">
        <v>849</v>
      </c>
      <c r="E12" s="99" t="s">
        <v>849</v>
      </c>
      <c r="F12" s="22" t="s">
        <v>856</v>
      </c>
    </row>
    <row r="13" customFormat="false" ht="49.5" hidden="false" customHeight="true" outlineLevel="0" collapsed="false">
      <c r="A13" s="2"/>
      <c r="B13" s="14" t="s">
        <v>857</v>
      </c>
      <c r="C13" s="14" t="s">
        <v>858</v>
      </c>
      <c r="D13" s="99" t="s">
        <v>849</v>
      </c>
      <c r="E13" s="99" t="s">
        <v>849</v>
      </c>
      <c r="F13" s="22" t="s">
        <v>859</v>
      </c>
    </row>
    <row r="14" customFormat="false" ht="49.5" hidden="false" customHeight="true" outlineLevel="0" collapsed="false">
      <c r="A14" s="2"/>
      <c r="B14" s="14" t="s">
        <v>860</v>
      </c>
      <c r="C14" s="14" t="s">
        <v>861</v>
      </c>
      <c r="D14" s="99" t="s">
        <v>849</v>
      </c>
      <c r="E14" s="99" t="s">
        <v>849</v>
      </c>
      <c r="F14" s="22" t="s">
        <v>862</v>
      </c>
    </row>
    <row r="15" customFormat="false" ht="72" hidden="false" customHeight="true" outlineLevel="0" collapsed="false">
      <c r="A15" s="2"/>
      <c r="B15" s="14" t="s">
        <v>863</v>
      </c>
      <c r="C15" s="14" t="s">
        <v>864</v>
      </c>
      <c r="D15" s="99" t="s">
        <v>849</v>
      </c>
      <c r="E15" s="99" t="s">
        <v>849</v>
      </c>
      <c r="F15" s="22" t="s">
        <v>865</v>
      </c>
    </row>
    <row r="16" customFormat="false" ht="72" hidden="false" customHeight="true" outlineLevel="0" collapsed="false">
      <c r="A16" s="2"/>
      <c r="B16" s="14" t="s">
        <v>866</v>
      </c>
      <c r="C16" s="14" t="s">
        <v>867</v>
      </c>
      <c r="D16" s="99" t="s">
        <v>849</v>
      </c>
      <c r="E16" s="99" t="s">
        <v>849</v>
      </c>
      <c r="F16" s="22" t="s">
        <v>868</v>
      </c>
    </row>
    <row r="17" customFormat="false" ht="60.75" hidden="false" customHeight="true" outlineLevel="0" collapsed="false">
      <c r="A17" s="2"/>
      <c r="B17" s="14" t="s">
        <v>869</v>
      </c>
      <c r="C17" s="14" t="s">
        <v>870</v>
      </c>
      <c r="D17" s="102" t="n">
        <f aca="false">SUM(Programas!AM12:AX12)/Supuestos!$C$55</f>
        <v>6</v>
      </c>
      <c r="E17" s="102" t="n">
        <f aca="false">SUM(Programas!CI12:CT12)/Supuestos!$C$55</f>
        <v>6</v>
      </c>
      <c r="F17" s="22" t="s">
        <v>871</v>
      </c>
    </row>
    <row r="18" customFormat="false" ht="128.25" hidden="false" customHeight="true" outlineLevel="0" collapsed="false">
      <c r="A18" s="2"/>
      <c r="B18" s="14" t="s">
        <v>872</v>
      </c>
      <c r="C18" s="14" t="s">
        <v>873</v>
      </c>
      <c r="D18" s="103" t="n">
        <f aca="false">Programas!AX38</f>
        <v>1286</v>
      </c>
      <c r="E18" s="103" t="n">
        <f aca="false">SUM(Programas!CI37:CT37)</f>
        <v>928</v>
      </c>
      <c r="F18" s="22" t="s">
        <v>874</v>
      </c>
    </row>
    <row r="19" customFormat="false" ht="38.25" hidden="false" customHeight="true" outlineLevel="0" collapsed="false">
      <c r="A19" s="2"/>
      <c r="B19" s="14" t="s">
        <v>875</v>
      </c>
      <c r="C19" s="14" t="s">
        <v>876</v>
      </c>
      <c r="D19" s="99" t="s">
        <v>849</v>
      </c>
      <c r="E19" s="99" t="s">
        <v>849</v>
      </c>
      <c r="F19" s="22" t="s">
        <v>877</v>
      </c>
    </row>
    <row r="20" customFormat="false" ht="38.25" hidden="false" customHeight="true" outlineLevel="0" collapsed="false">
      <c r="A20" s="2"/>
      <c r="B20" s="14" t="s">
        <v>878</v>
      </c>
      <c r="C20" s="14" t="s">
        <v>879</v>
      </c>
      <c r="D20" s="99" t="s">
        <v>849</v>
      </c>
      <c r="E20" s="99" t="s">
        <v>849</v>
      </c>
      <c r="F20" s="22" t="s">
        <v>880</v>
      </c>
    </row>
    <row r="21" customFormat="false" ht="38.25" hidden="false" customHeight="true" outlineLevel="0" collapsed="false">
      <c r="A21" s="2"/>
      <c r="B21" s="14" t="s">
        <v>881</v>
      </c>
      <c r="C21" s="14" t="s">
        <v>882</v>
      </c>
      <c r="D21" s="99" t="s">
        <v>849</v>
      </c>
      <c r="E21" s="99" t="s">
        <v>849</v>
      </c>
      <c r="F21" s="22" t="s">
        <v>883</v>
      </c>
    </row>
    <row r="22" customFormat="false" ht="60.75" hidden="false" customHeight="true" outlineLevel="0" collapsed="false">
      <c r="A22" s="2"/>
      <c r="B22" s="14" t="s">
        <v>884</v>
      </c>
      <c r="C22" s="14" t="s">
        <v>885</v>
      </c>
      <c r="D22" s="99" t="s">
        <v>849</v>
      </c>
      <c r="E22" s="99" t="s">
        <v>849</v>
      </c>
      <c r="F22" s="22" t="s">
        <v>886</v>
      </c>
    </row>
    <row r="23" customFormat="false" ht="38.25" hidden="false" customHeight="true" outlineLevel="0" collapsed="false">
      <c r="A23" s="2"/>
      <c r="B23" s="14" t="s">
        <v>887</v>
      </c>
      <c r="C23" s="14" t="s">
        <v>888</v>
      </c>
      <c r="D23" s="99" t="s">
        <v>849</v>
      </c>
      <c r="E23" s="99" t="s">
        <v>849</v>
      </c>
      <c r="F23" s="22" t="s">
        <v>889</v>
      </c>
    </row>
    <row r="24" customFormat="false" ht="27" hidden="false" customHeight="true" outlineLevel="0" collapsed="false">
      <c r="A24" s="2"/>
      <c r="B24" s="14" t="s">
        <v>890</v>
      </c>
      <c r="C24" s="14" t="s">
        <v>891</v>
      </c>
      <c r="D24" s="99" t="s">
        <v>849</v>
      </c>
      <c r="E24" s="99" t="s">
        <v>849</v>
      </c>
      <c r="F24" s="22" t="s">
        <v>892</v>
      </c>
    </row>
    <row r="25" customFormat="false" ht="49.5" hidden="false" customHeight="true" outlineLevel="0" collapsed="false">
      <c r="A25" s="2"/>
      <c r="B25" s="14" t="s">
        <v>893</v>
      </c>
      <c r="C25" s="14" t="s">
        <v>894</v>
      </c>
      <c r="D25" s="99" t="s">
        <v>849</v>
      </c>
      <c r="E25" s="99" t="s">
        <v>849</v>
      </c>
      <c r="F25" s="22" t="s">
        <v>895</v>
      </c>
    </row>
    <row r="26" customFormat="false" ht="15" hidden="false" customHeight="false" outlineLevel="0" collapsed="false">
      <c r="A26" s="2"/>
      <c r="B26" s="2"/>
      <c r="C26" s="2"/>
      <c r="D26" s="2"/>
      <c r="E26" s="2"/>
      <c r="F26" s="2"/>
    </row>
    <row r="27" customFormat="false" ht="15" hidden="false" customHeight="true" outlineLevel="0" collapsed="false">
      <c r="A27" s="2"/>
      <c r="B27" s="48" t="s">
        <v>896</v>
      </c>
      <c r="C27" s="48"/>
      <c r="D27" s="48"/>
      <c r="E27" s="48"/>
      <c r="F27" s="48"/>
    </row>
    <row r="28" customFormat="false" ht="15" hidden="false" customHeight="false" outlineLevel="0" collapsed="false">
      <c r="A28" s="2"/>
      <c r="B28" s="2"/>
      <c r="C28" s="2"/>
      <c r="D28" s="2"/>
      <c r="E28" s="2"/>
      <c r="F28" s="2"/>
    </row>
    <row r="29" customFormat="false" ht="15" hidden="false" customHeight="false" outlineLevel="0" collapsed="false">
      <c r="A29" s="2"/>
      <c r="B29" s="2"/>
      <c r="C29" s="2"/>
      <c r="D29" s="2"/>
      <c r="E29" s="2"/>
      <c r="F29" s="2"/>
    </row>
    <row r="30" customFormat="false" ht="15" hidden="false" customHeight="false" outlineLevel="0" collapsed="false">
      <c r="A30" s="2"/>
      <c r="B30" s="2"/>
      <c r="C30" s="2"/>
      <c r="D30" s="2"/>
      <c r="E30" s="2"/>
      <c r="F30" s="2"/>
    </row>
    <row r="31" customFormat="false" ht="15" hidden="false" customHeight="false" outlineLevel="0" collapsed="false">
      <c r="A31" s="2"/>
      <c r="B31" s="2"/>
      <c r="C31" s="2"/>
      <c r="D31" s="2"/>
      <c r="E31" s="2"/>
      <c r="F31" s="2"/>
    </row>
    <row r="32" customFormat="false" ht="15" hidden="false" customHeight="false" outlineLevel="0" collapsed="false">
      <c r="A32" s="2"/>
      <c r="B32" s="2"/>
      <c r="C32" s="2"/>
      <c r="D32" s="2"/>
      <c r="E32" s="2"/>
      <c r="F32" s="2"/>
    </row>
    <row r="33" customFormat="false" ht="15" hidden="false" customHeight="false" outlineLevel="0" collapsed="false">
      <c r="A33" s="2"/>
      <c r="B33" s="2"/>
      <c r="C33" s="2"/>
      <c r="D33" s="2"/>
      <c r="E33" s="2"/>
      <c r="F33" s="2"/>
    </row>
    <row r="34" customFormat="false" ht="15" hidden="false" customHeight="false" outlineLevel="0" collapsed="false">
      <c r="A34" s="2"/>
      <c r="B34" s="2"/>
      <c r="C34" s="2"/>
      <c r="D34" s="2"/>
      <c r="E34" s="2"/>
      <c r="F34" s="2"/>
    </row>
    <row r="35" customFormat="false" ht="15" hidden="false" customHeight="false" outlineLevel="0" collapsed="false">
      <c r="A35" s="2"/>
      <c r="B35" s="2"/>
      <c r="C35" s="2"/>
      <c r="D35" s="2"/>
      <c r="E35" s="2"/>
      <c r="F35" s="2"/>
    </row>
    <row r="36" customFormat="false" ht="15" hidden="false" customHeight="false" outlineLevel="0" collapsed="false">
      <c r="A36" s="2"/>
      <c r="B36" s="2"/>
      <c r="C36" s="2"/>
      <c r="D36" s="2"/>
      <c r="E36" s="2"/>
      <c r="F36" s="2"/>
    </row>
    <row r="37" customFormat="false" ht="15" hidden="false" customHeight="false" outlineLevel="0" collapsed="false">
      <c r="A37" s="2"/>
      <c r="B37" s="2"/>
      <c r="C37" s="2"/>
      <c r="D37" s="2"/>
      <c r="E37" s="2"/>
      <c r="F37" s="2"/>
    </row>
    <row r="38" customFormat="false" ht="15" hidden="false" customHeight="false" outlineLevel="0" collapsed="false">
      <c r="A38" s="2"/>
      <c r="B38" s="2"/>
      <c r="C38" s="2"/>
      <c r="D38" s="2"/>
      <c r="E38" s="2"/>
      <c r="F38" s="2"/>
    </row>
    <row r="39" customFormat="false" ht="15" hidden="false" customHeight="false" outlineLevel="0" collapsed="false">
      <c r="A39" s="2"/>
      <c r="B39" s="2"/>
      <c r="C39" s="2"/>
      <c r="D39" s="2"/>
      <c r="E39" s="2"/>
      <c r="F39" s="2"/>
    </row>
  </sheetData>
  <mergeCells count="2">
    <mergeCell ref="B3:F3"/>
    <mergeCell ref="B27:F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2026-09-15T03:03:29Z</dcterms:created>
  <dc:creator>openpyxl</dc:creator>
  <dc:description/>
  <dc:language>en-US</dc:language>
  <cp:lastModifiedBy/>
  <dcterms:modified xsi:type="dcterms:W3CDTF">2026-10-11T03:59:16Z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